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85" tabRatio="908" firstSheet="1" activeTab="3"/>
  </bookViews>
  <sheets>
    <sheet name="ведомость сад" sheetId="1" state="hidden" r:id="rId1"/>
    <sheet name="сад" sheetId="2" r:id="rId2"/>
    <sheet name="анализ сад" sheetId="3" state="hidden" r:id="rId3"/>
    <sheet name="ясли" sheetId="4" r:id="rId4"/>
    <sheet name="анализ ясли" sheetId="5" state="hidden" r:id="rId5"/>
    <sheet name="ведомость ясли" sheetId="6" state="hidden" r:id="rId6"/>
  </sheets>
  <definedNames>
    <definedName name="_xlfn.AGGREGATE" hidden="1">#NAME?</definedName>
    <definedName name="_xlnm.Print_Area" localSheetId="1">'сад'!$A$1:$L$314</definedName>
  </definedNames>
  <calcPr fullCalcOnLoad="1"/>
</workbook>
</file>

<file path=xl/sharedStrings.xml><?xml version="1.0" encoding="utf-8"?>
<sst xmlns="http://schemas.openxmlformats.org/spreadsheetml/2006/main" count="1423" uniqueCount="587">
  <si>
    <t>Пищевые вещества (г)</t>
  </si>
  <si>
    <t>Кофейный напиток с молоком</t>
  </si>
  <si>
    <t>Наименование блюда</t>
  </si>
  <si>
    <t>ГОСТ</t>
  </si>
  <si>
    <t>Итого за весь период</t>
  </si>
  <si>
    <t>Среднее значение за весь период</t>
  </si>
  <si>
    <t>Пюре картофельное</t>
  </si>
  <si>
    <t>ГОСТ 27844-88</t>
  </si>
  <si>
    <t>392 дош.пит. 2012 г.</t>
  </si>
  <si>
    <t>376 дош.пит. 2012 г.</t>
  </si>
  <si>
    <t>94 дош.пит. 2012 г.</t>
  </si>
  <si>
    <t>401 дош.пит. 2012 г.</t>
  </si>
  <si>
    <t>393 дош.пит. 2012 г.</t>
  </si>
  <si>
    <t>399 дош.пит. 2012 г.</t>
  </si>
  <si>
    <t>372 дош.пит. 2012 г.</t>
  </si>
  <si>
    <t>398 дош.пит. 2012 г.</t>
  </si>
  <si>
    <t>397 дош.пит. 2012 г.</t>
  </si>
  <si>
    <t>395 дош.пит. 2012 г.</t>
  </si>
  <si>
    <t>394 дош.пит. 2012 г.</t>
  </si>
  <si>
    <t>Fe</t>
  </si>
  <si>
    <t>Mg</t>
  </si>
  <si>
    <t>ГОСТ 58233-2018</t>
  </si>
  <si>
    <t>ГОСТ 26983-15</t>
  </si>
  <si>
    <t>Итого завтрак:</t>
  </si>
  <si>
    <t>Выход блюда</t>
  </si>
  <si>
    <t>белки</t>
  </si>
  <si>
    <t>жиры</t>
  </si>
  <si>
    <t>Итого обед:</t>
  </si>
  <si>
    <t>День 1</t>
  </si>
  <si>
    <t>День 2</t>
  </si>
  <si>
    <t xml:space="preserve">Содержание белков, жиров, углеводов в меню за весь период, % </t>
  </si>
  <si>
    <t>Нормы по СанПиН белков, жиров, углеводов в % от калорийности:</t>
  </si>
  <si>
    <t>12-15%</t>
  </si>
  <si>
    <t>30-32%</t>
  </si>
  <si>
    <t>55-58%</t>
  </si>
  <si>
    <t>Макаронные изделия отварные</t>
  </si>
  <si>
    <t>Батон с витаминно-минеральной смесью</t>
  </si>
  <si>
    <t>Хлеб пшеничный обогащенный витамин-и и микроэл-ми</t>
  </si>
  <si>
    <t>Хлеб ржано-пшеничный обогащ. витамин-и и микроэл-ми</t>
  </si>
  <si>
    <t>Бананы</t>
  </si>
  <si>
    <t>Каша вязкая гречневая</t>
  </si>
  <si>
    <t>314 дош.пит 2012г</t>
  </si>
  <si>
    <t>УТВЕРЖДЕНО:</t>
  </si>
  <si>
    <t>Основное (организованное) 10-ти дневное меню</t>
  </si>
  <si>
    <t xml:space="preserve"> 4-х разового питания для воспитанников дошкольного возраста от 3-х до 7-ми лет с длительностью пребывания в учреждении до 12-ти часов</t>
  </si>
  <si>
    <t>Прием пищи</t>
  </si>
  <si>
    <t>Энерг. цен. (ккал)</t>
  </si>
  <si>
    <t>Макро- и микроэл.</t>
  </si>
  <si>
    <t>Вит. "С", мг</t>
  </si>
  <si>
    <t>Наименование сборника рецептур, номер рецептуры</t>
  </si>
  <si>
    <t>углев.</t>
  </si>
  <si>
    <t>Ca</t>
  </si>
  <si>
    <t>Завтрак:</t>
  </si>
  <si>
    <t>2 завтрак:</t>
  </si>
  <si>
    <t>Обед:</t>
  </si>
  <si>
    <t>Уплот. полдник:</t>
  </si>
  <si>
    <t>Итого полдник:</t>
  </si>
  <si>
    <t>Итого за 1 день:</t>
  </si>
  <si>
    <t>Итого за 2 день:</t>
  </si>
  <si>
    <t>Итого за 3 день:</t>
  </si>
  <si>
    <t>Пюре картофельное с морковью</t>
  </si>
  <si>
    <t>Итого за 4 день:</t>
  </si>
  <si>
    <t>Запеканка из печени с рисом</t>
  </si>
  <si>
    <t>Итого за 5 день:</t>
  </si>
  <si>
    <t>Итого за 6 день:</t>
  </si>
  <si>
    <t>Итого за 7 день:</t>
  </si>
  <si>
    <t>Итого за 8 день:</t>
  </si>
  <si>
    <t>Итого за 9 день:</t>
  </si>
  <si>
    <t>Итого за 10 день:</t>
  </si>
  <si>
    <t>День 10</t>
  </si>
  <si>
    <t>День 9</t>
  </si>
  <si>
    <t>День 8</t>
  </si>
  <si>
    <t>День 7</t>
  </si>
  <si>
    <t>День 6</t>
  </si>
  <si>
    <t>День 5</t>
  </si>
  <si>
    <t>День 4</t>
  </si>
  <si>
    <t>День 3</t>
  </si>
  <si>
    <t>Кефир</t>
  </si>
  <si>
    <t>Сок  фруктовый</t>
  </si>
  <si>
    <t>Чай с вареньем</t>
  </si>
  <si>
    <t>Чай с  молоком</t>
  </si>
  <si>
    <t>Каша вязкая рисовая</t>
  </si>
  <si>
    <t>Чай с шиповником</t>
  </si>
  <si>
    <t>ТТК № 6</t>
  </si>
  <si>
    <t>317 дош.пит. 2012</t>
  </si>
  <si>
    <t xml:space="preserve">Чай с  лимоном </t>
  </si>
  <si>
    <t>Вафли</t>
  </si>
  <si>
    <t>Напиток лимонный*</t>
  </si>
  <si>
    <t>368 дош. пит. 2012г</t>
  </si>
  <si>
    <t>321 дош.пит. 2012</t>
  </si>
  <si>
    <t>Бутерброды с маслом</t>
  </si>
  <si>
    <t>1  дош. пит.2012г</t>
  </si>
  <si>
    <t>Какао  с молоком</t>
  </si>
  <si>
    <t>322 дош.пит. 2012</t>
  </si>
  <si>
    <t>382 дош.пит. 2012 г.</t>
  </si>
  <si>
    <t>81 дош.пит. 2012</t>
  </si>
  <si>
    <t>Кисель из сока натурального*</t>
  </si>
  <si>
    <t>Конфета шоколадная</t>
  </si>
  <si>
    <t>305 дош.пит. 2012г</t>
  </si>
  <si>
    <t>Котлеты рубленные из цыпленка</t>
  </si>
  <si>
    <t>Пудинг из говядины</t>
  </si>
  <si>
    <t>290 дош.пит. 2012</t>
  </si>
  <si>
    <t>243 дош.пит. 2012</t>
  </si>
  <si>
    <t xml:space="preserve">Повидло </t>
  </si>
  <si>
    <t>Хлеб пшеничный обогащ. витамин-и и микроэл-ми</t>
  </si>
  <si>
    <t>28 дош.пит. 2012</t>
  </si>
  <si>
    <t>318 дош.пит. 2012</t>
  </si>
  <si>
    <t>Рацион</t>
  </si>
  <si>
    <t>Обед</t>
  </si>
  <si>
    <t>Пудинг из печени</t>
  </si>
  <si>
    <t>ТТК № 8</t>
  </si>
  <si>
    <t xml:space="preserve">Йогурт </t>
  </si>
  <si>
    <t xml:space="preserve">Суп молочный  с ячневой крупой </t>
  </si>
  <si>
    <t>150/2</t>
  </si>
  <si>
    <t>134/1 Дружинина 1994</t>
  </si>
  <si>
    <t>Молоко кипяченое</t>
  </si>
  <si>
    <t>200/2</t>
  </si>
  <si>
    <t>Сумсы печеные (капуста, лук)</t>
  </si>
  <si>
    <t>1330 Сб.рец.и кул.изд1998г</t>
  </si>
  <si>
    <t>Примечание*: витаминизация 3-его блюда аскорбиновой кислотой 45 мг на 1 ребенка в сутки.</t>
  </si>
  <si>
    <t xml:space="preserve"> 4-х разового питания для воспитанников дошкольного возраста от 1-го года до 3-х лет с длительностью пребывания в учреждении до 12-ти часов</t>
  </si>
  <si>
    <t>Масло порциями</t>
  </si>
  <si>
    <t>6 дош.пит.2012г.</t>
  </si>
  <si>
    <t>Суп молочный с овсяными хлопьями</t>
  </si>
  <si>
    <t>94 дош.пит.2012г.</t>
  </si>
  <si>
    <t xml:space="preserve">Кофейный напиток с молоком </t>
  </si>
  <si>
    <t>ГОСТ 51074</t>
  </si>
  <si>
    <t>76 дош.пит.2012г</t>
  </si>
  <si>
    <t>3 ТТК №3</t>
  </si>
  <si>
    <t>Соус томатный</t>
  </si>
  <si>
    <t>348 дош.пит.2012г</t>
  </si>
  <si>
    <t>317 дош.пит.2012г</t>
  </si>
  <si>
    <t>ГОСТ 26983</t>
  </si>
  <si>
    <t>Рагу овощное (3-й вариант)</t>
  </si>
  <si>
    <t>344 дош.пит. 2012</t>
  </si>
  <si>
    <t>13 дош.пит. 2012 г.</t>
  </si>
  <si>
    <t>Суфле из минтая</t>
  </si>
  <si>
    <t>268 дош.пит.2012г</t>
  </si>
  <si>
    <t>Чай с лимоном</t>
  </si>
  <si>
    <t>Булочка  российская</t>
  </si>
  <si>
    <t>474 дош.пит.2012г.</t>
  </si>
  <si>
    <t xml:space="preserve">Петрушка свежая  </t>
  </si>
  <si>
    <t>27 сб.рец и бл.2004г</t>
  </si>
  <si>
    <t>Рассольник ленинградский</t>
  </si>
  <si>
    <t xml:space="preserve">Укроп свежий     </t>
  </si>
  <si>
    <t>№ п/п</t>
  </si>
  <si>
    <t>Наименование пищевого продукта</t>
  </si>
  <si>
    <t>Количество продуктов для детей в граммах, нетто</t>
  </si>
  <si>
    <t>Дни</t>
  </si>
  <si>
    <t>Кол-во продуктов по меню, гр</t>
  </si>
  <si>
    <t>В среднем за 10 дней</t>
  </si>
  <si>
    <t>Отклонение нормы и факт</t>
  </si>
  <si>
    <t>1 день</t>
  </si>
  <si>
    <t>10 дней</t>
  </si>
  <si>
    <t>1.</t>
  </si>
  <si>
    <t>Молоко, молочная и кисломолочная продукция, в том числе:</t>
  </si>
  <si>
    <t>  молоко натуральное</t>
  </si>
  <si>
    <t>  молоко сгущенное с сахаром</t>
  </si>
  <si>
    <t>  йогурт</t>
  </si>
  <si>
    <t xml:space="preserve">  кисломолочная продукция </t>
  </si>
  <si>
    <t>2.</t>
  </si>
  <si>
    <t>Творог с м.д.ж. 5 - 9%</t>
  </si>
  <si>
    <t>3.</t>
  </si>
  <si>
    <t>Сметана с м.д.ж. не более 15%</t>
  </si>
  <si>
    <t>4.</t>
  </si>
  <si>
    <t>Сыр твердый</t>
  </si>
  <si>
    <t>5.</t>
  </si>
  <si>
    <t>Мясо бескостное свежемороженое, в том числе:</t>
  </si>
  <si>
    <t xml:space="preserve">  говядина </t>
  </si>
  <si>
    <t>  оленина</t>
  </si>
  <si>
    <t>6.</t>
  </si>
  <si>
    <t>Птица свежемороженая, в том числе:</t>
  </si>
  <si>
    <t>  филе птицы (полуфабрикат)*</t>
  </si>
  <si>
    <t>  цыплята бройлера потрошенные **</t>
  </si>
  <si>
    <t>7.</t>
  </si>
  <si>
    <t>Субпродукты, в том числе:</t>
  </si>
  <si>
    <t>  печень говяжья</t>
  </si>
  <si>
    <t>8.</t>
  </si>
  <si>
    <t>Рыба свежемороженая, в том числе:</t>
  </si>
  <si>
    <t>  горбуша потрошенная с головой</t>
  </si>
  <si>
    <t>  минтай обезглавленный ***</t>
  </si>
  <si>
    <t>9.</t>
  </si>
  <si>
    <t>Яйцо,  (штук/граммы)</t>
  </si>
  <si>
    <t>10.</t>
  </si>
  <si>
    <t>Картофель свежий:</t>
  </si>
  <si>
    <t xml:space="preserve">Картофель </t>
  </si>
  <si>
    <t>11.</t>
  </si>
  <si>
    <t>Овощи (свежие и консервированные):</t>
  </si>
  <si>
    <t>овощи свежие и зелень, в том числе:</t>
  </si>
  <si>
    <t>овощи консервированные,  в том числе:</t>
  </si>
  <si>
    <r>
      <t>ü</t>
    </r>
    <r>
      <rPr>
        <sz val="12"/>
        <color indexed="8"/>
        <rFont val="Liberation Serif"/>
        <family val="1"/>
      </rPr>
      <t>  капуста белокочанная</t>
    </r>
  </si>
  <si>
    <r>
      <t>ü</t>
    </r>
    <r>
      <rPr>
        <sz val="12"/>
        <color indexed="8"/>
        <rFont val="Liberation Serif"/>
        <family val="1"/>
      </rPr>
      <t>  морковь</t>
    </r>
  </si>
  <si>
    <r>
      <t>ü</t>
    </r>
    <r>
      <rPr>
        <sz val="12"/>
        <color indexed="8"/>
        <rFont val="Liberation Serif"/>
        <family val="1"/>
      </rPr>
      <t>  свекла</t>
    </r>
  </si>
  <si>
    <r>
      <t>ü</t>
    </r>
    <r>
      <rPr>
        <sz val="12"/>
        <color indexed="8"/>
        <rFont val="Liberation Serif"/>
        <family val="1"/>
      </rPr>
      <t>  лук репчатый</t>
    </r>
  </si>
  <si>
    <r>
      <t>ü</t>
    </r>
    <r>
      <rPr>
        <sz val="12"/>
        <color indexed="8"/>
        <rFont val="Liberation Serif"/>
        <family val="1"/>
      </rPr>
      <t xml:space="preserve">  огурцы </t>
    </r>
  </si>
  <si>
    <r>
      <t>ü</t>
    </r>
    <r>
      <rPr>
        <sz val="12"/>
        <color indexed="8"/>
        <rFont val="Liberation Serif"/>
        <family val="1"/>
      </rPr>
      <t>  помидоры</t>
    </r>
  </si>
  <si>
    <r>
      <t>ü</t>
    </r>
    <r>
      <rPr>
        <sz val="12"/>
        <color indexed="8"/>
        <rFont val="Liberation Serif"/>
        <family val="1"/>
      </rPr>
      <t>  перец сладкий</t>
    </r>
  </si>
  <si>
    <r>
      <t>ü</t>
    </r>
    <r>
      <rPr>
        <sz val="12"/>
        <color indexed="8"/>
        <rFont val="Liberation Serif"/>
        <family val="1"/>
      </rPr>
      <t>  баклажаны</t>
    </r>
  </si>
  <si>
    <r>
      <t>ü</t>
    </r>
    <r>
      <rPr>
        <sz val="12"/>
        <color indexed="8"/>
        <rFont val="Liberation Serif"/>
        <family val="1"/>
      </rPr>
      <t>  кабачки</t>
    </r>
  </si>
  <si>
    <r>
      <t>ü</t>
    </r>
    <r>
      <rPr>
        <sz val="12"/>
        <color indexed="8"/>
        <rFont val="Liberation Serif"/>
        <family val="1"/>
      </rPr>
      <t>  тыква</t>
    </r>
  </si>
  <si>
    <r>
      <t>ü</t>
    </r>
    <r>
      <rPr>
        <sz val="12"/>
        <color indexed="8"/>
        <rFont val="Liberation Serif"/>
        <family val="1"/>
      </rPr>
      <t>  чеснок</t>
    </r>
  </si>
  <si>
    <r>
      <t>ü</t>
    </r>
    <r>
      <rPr>
        <sz val="12"/>
        <color indexed="8"/>
        <rFont val="Liberation Serif"/>
        <family val="1"/>
      </rPr>
      <t>  лук зеленый</t>
    </r>
  </si>
  <si>
    <r>
      <t>ü</t>
    </r>
    <r>
      <rPr>
        <sz val="12"/>
        <color indexed="8"/>
        <rFont val="Liberation Serif"/>
        <family val="1"/>
      </rPr>
      <t>  зелень свежая (петрушка)</t>
    </r>
  </si>
  <si>
    <r>
      <t>ü</t>
    </r>
    <r>
      <rPr>
        <sz val="12"/>
        <color indexed="8"/>
        <rFont val="Liberation Serif"/>
        <family val="1"/>
      </rPr>
      <t>  зелень свежая (укроп)</t>
    </r>
  </si>
  <si>
    <r>
      <t>ü</t>
    </r>
    <r>
      <rPr>
        <sz val="12"/>
        <color indexed="8"/>
        <rFont val="Liberation Serif"/>
        <family val="1"/>
      </rPr>
      <t>  кукуруза сахарная</t>
    </r>
  </si>
  <si>
    <r>
      <t>ü</t>
    </r>
    <r>
      <rPr>
        <sz val="12"/>
        <color indexed="8"/>
        <rFont val="Liberation Serif"/>
        <family val="1"/>
      </rPr>
      <t>  горошек зеленый</t>
    </r>
  </si>
  <si>
    <r>
      <t>ü</t>
    </r>
    <r>
      <rPr>
        <sz val="12"/>
        <color indexed="8"/>
        <rFont val="Liberation Serif"/>
        <family val="1"/>
      </rPr>
      <t>  томаты в собственном соку</t>
    </r>
  </si>
  <si>
    <r>
      <t>ü</t>
    </r>
    <r>
      <rPr>
        <sz val="12"/>
        <color indexed="8"/>
        <rFont val="Liberation Serif"/>
        <family val="1"/>
      </rPr>
      <t>  огурцы</t>
    </r>
  </si>
  <si>
    <r>
      <t>ü</t>
    </r>
    <r>
      <rPr>
        <sz val="12"/>
        <color indexed="8"/>
        <rFont val="Liberation Serif"/>
        <family val="1"/>
      </rPr>
      <t>  икра кабачковая, баклажанная</t>
    </r>
  </si>
  <si>
    <t>ü  капуста белокочанная</t>
  </si>
  <si>
    <t>ü  морковь</t>
  </si>
  <si>
    <t>ü  свекла</t>
  </si>
  <si>
    <t>ü  лук репчатый</t>
  </si>
  <si>
    <t xml:space="preserve">ü  огурцы </t>
  </si>
  <si>
    <t>ü  помидоры</t>
  </si>
  <si>
    <t>ü  перец сладкий</t>
  </si>
  <si>
    <t>ü  баклажаны</t>
  </si>
  <si>
    <t>ü  кабачки</t>
  </si>
  <si>
    <t>ü  тыква</t>
  </si>
  <si>
    <t>ü  чеснок</t>
  </si>
  <si>
    <t>ü  лук зеленый</t>
  </si>
  <si>
    <t>ü  огурцы</t>
  </si>
  <si>
    <t>ü  томаты в собственном соку</t>
  </si>
  <si>
    <t>ü  горошек зеленый</t>
  </si>
  <si>
    <t>ü  кукуруза сахарная</t>
  </si>
  <si>
    <t>12.</t>
  </si>
  <si>
    <t>Фрукты свежие, в том числе:</t>
  </si>
  <si>
    <t>фрукты свежие, в том числе:</t>
  </si>
  <si>
    <t>  яблоки</t>
  </si>
  <si>
    <t>  груши</t>
  </si>
  <si>
    <t>  бананы</t>
  </si>
  <si>
    <t xml:space="preserve">  апельсины </t>
  </si>
  <si>
    <t xml:space="preserve"> мандарины </t>
  </si>
  <si>
    <t xml:space="preserve"> лимоны</t>
  </si>
  <si>
    <t> ягода (брусника, клюква, черника и др.)</t>
  </si>
  <si>
    <t>13.</t>
  </si>
  <si>
    <t>Сухофрукты, в том числе:</t>
  </si>
  <si>
    <t>компотная смесь</t>
  </si>
  <si>
    <t>изюм (белый без косточки)</t>
  </si>
  <si>
    <t>курага</t>
  </si>
  <si>
    <t>шиповник</t>
  </si>
  <si>
    <t>чернослив</t>
  </si>
  <si>
    <t>14.</t>
  </si>
  <si>
    <t>Соки фруктовые и овощные, в том числе:</t>
  </si>
  <si>
    <t>соки натуральные до 3-х лет</t>
  </si>
  <si>
    <t>соки натуральные</t>
  </si>
  <si>
    <t>16.</t>
  </si>
  <si>
    <t>Хлеб ржаной, в том числе:</t>
  </si>
  <si>
    <t>хлеб ржано-пшеничный</t>
  </si>
  <si>
    <t>сухари панировочные</t>
  </si>
  <si>
    <t>17.</t>
  </si>
  <si>
    <t>Хлеб пшеничный, в том числе:</t>
  </si>
  <si>
    <t>хлеб пшеничный высший сорт</t>
  </si>
  <si>
    <t>батон нарезной высший сорт</t>
  </si>
  <si>
    <t>18.</t>
  </si>
  <si>
    <t>Крупы, бобовые, в том числе:</t>
  </si>
  <si>
    <t>крупа манная</t>
  </si>
  <si>
    <t>крупа "Геркулес" (хлопья овсяные)</t>
  </si>
  <si>
    <t xml:space="preserve">крупа горох </t>
  </si>
  <si>
    <t xml:space="preserve">крупа пшено </t>
  </si>
  <si>
    <t>крупа гречневая ядрица</t>
  </si>
  <si>
    <t>крупа пшеничная</t>
  </si>
  <si>
    <t>крупа ячневая</t>
  </si>
  <si>
    <t>крупа перловая</t>
  </si>
  <si>
    <t>крупа рисовая</t>
  </si>
  <si>
    <t>фасоль овощная</t>
  </si>
  <si>
    <t>19.</t>
  </si>
  <si>
    <t>Макаронные изделия</t>
  </si>
  <si>
    <t>20.</t>
  </si>
  <si>
    <t>Мука пшеничная</t>
  </si>
  <si>
    <t>21.</t>
  </si>
  <si>
    <t xml:space="preserve">Масло сливочное </t>
  </si>
  <si>
    <t>22.</t>
  </si>
  <si>
    <t>Масло растительное</t>
  </si>
  <si>
    <t>23.</t>
  </si>
  <si>
    <t>Кондитерские изделия, в том числе:</t>
  </si>
  <si>
    <t>печенье</t>
  </si>
  <si>
    <t>вафли</t>
  </si>
  <si>
    <t>конфеты шоколадные, мармелад</t>
  </si>
  <si>
    <t>повидло</t>
  </si>
  <si>
    <t xml:space="preserve">варенье </t>
  </si>
  <si>
    <t>джем</t>
  </si>
  <si>
    <t>ванилин</t>
  </si>
  <si>
    <t>аскорбиновая кислота</t>
  </si>
  <si>
    <t>24.</t>
  </si>
  <si>
    <t>Чай</t>
  </si>
  <si>
    <t>25.</t>
  </si>
  <si>
    <t>Какао - порошок</t>
  </si>
  <si>
    <t>26.</t>
  </si>
  <si>
    <t>Кофейный напиток</t>
  </si>
  <si>
    <t>27.</t>
  </si>
  <si>
    <t>Сахар</t>
  </si>
  <si>
    <t>28.</t>
  </si>
  <si>
    <t>Дрожжи хлебопекарные (сухие)</t>
  </si>
  <si>
    <t>29.</t>
  </si>
  <si>
    <t>Крахмал (картофельный)</t>
  </si>
  <si>
    <t>30.</t>
  </si>
  <si>
    <t>Соль пищевая поваренная йодированная</t>
  </si>
  <si>
    <t>31.</t>
  </si>
  <si>
    <t>Соль пищевая (для обработки свежих овощей)</t>
  </si>
  <si>
    <t>ü  горбуша потрошенная с головой</t>
  </si>
  <si>
    <r>
      <t>ü</t>
    </r>
    <r>
      <rPr>
        <sz val="12"/>
        <color indexed="8"/>
        <rFont val="Liberation Serif"/>
        <family val="1"/>
      </rPr>
      <t>  минтай обезглавленный ***</t>
    </r>
  </si>
  <si>
    <t>Период    июнь</t>
  </si>
  <si>
    <t>с 1-го года до 3х лет</t>
  </si>
  <si>
    <t>Сыр</t>
  </si>
  <si>
    <t>7 дош.пит.2012г.</t>
  </si>
  <si>
    <t>Салат из свежих огурцов с луком зеленым</t>
  </si>
  <si>
    <t>55 Сбор. рецеп., 1982г</t>
  </si>
  <si>
    <t>Тефтели из говядины</t>
  </si>
  <si>
    <t>286 дош.пит.2012г.</t>
  </si>
  <si>
    <t>321 дош.пит.2012г</t>
  </si>
  <si>
    <t>ГОСТ 27842</t>
  </si>
  <si>
    <t xml:space="preserve">Биточки из минтая запеченные </t>
  </si>
  <si>
    <t>255 дош.пит.2012г.</t>
  </si>
  <si>
    <t>336дош.пит.2012г.</t>
  </si>
  <si>
    <t>Булочка ванильная</t>
  </si>
  <si>
    <t>467 дош.пит.2012г.</t>
  </si>
  <si>
    <t>ü  зелень свежая (петрушка)</t>
  </si>
  <si>
    <t>ü  зелень свежая (укроп)</t>
  </si>
  <si>
    <t>ü  икра кабачковая, баклажанная</t>
  </si>
  <si>
    <t>гост</t>
  </si>
  <si>
    <t>Омлет с сыром</t>
  </si>
  <si>
    <t>216 дош.пит 2012г</t>
  </si>
  <si>
    <t>Десерт фруктовый (2 вариант)</t>
  </si>
  <si>
    <t>ТТК № 11</t>
  </si>
  <si>
    <t>242 дош.пит.2012г.</t>
  </si>
  <si>
    <t>14   дош.пит. 2012 г.</t>
  </si>
  <si>
    <t>Паста сырная</t>
  </si>
  <si>
    <t>882 дош.пит.2012г.</t>
  </si>
  <si>
    <t>62 дош.пит.2012г.</t>
  </si>
  <si>
    <t>Суфле из филе птицы</t>
  </si>
  <si>
    <t>310 дош.пит. 2012г</t>
  </si>
  <si>
    <t>Котлеты из минтая паровые</t>
  </si>
  <si>
    <t>257 дош.пит.2012г.</t>
  </si>
  <si>
    <t>Соус  сметанный с томатом</t>
  </si>
  <si>
    <t>355 дош.пит.2012г</t>
  </si>
  <si>
    <t xml:space="preserve">Чай с сахаром </t>
  </si>
  <si>
    <t>80дош.пит.2012г.</t>
  </si>
  <si>
    <t xml:space="preserve">2.111  Сб. по диет 1999г </t>
  </si>
  <si>
    <t>Салат овощной с яблоками</t>
  </si>
  <si>
    <t>18   дош.пит. 2012 г.</t>
  </si>
  <si>
    <t>Сгущенное молоко</t>
  </si>
  <si>
    <t>401 дош.пит.2012г.</t>
  </si>
  <si>
    <t>156 Сбор. Рец.1994 г.</t>
  </si>
  <si>
    <t>Салат из свежих помидоров с луком репчатым,зелень</t>
  </si>
  <si>
    <t>50/2</t>
  </si>
  <si>
    <t>Картофель отварной</t>
  </si>
  <si>
    <t>24   дош.пит. 2012 г.</t>
  </si>
  <si>
    <t>Капуста тушенная, зелень</t>
  </si>
  <si>
    <t>Сыр порциями</t>
  </si>
  <si>
    <t>Суп молочный с манной крупой</t>
  </si>
  <si>
    <t>94дош.пит.2012г.</t>
  </si>
  <si>
    <t>400дош.пит.2012г.</t>
  </si>
  <si>
    <t>282дош.пит.2012г.</t>
  </si>
  <si>
    <t>144 диет.питан. 2002г</t>
  </si>
  <si>
    <t>104 дош.пит. 2012 г.</t>
  </si>
  <si>
    <t>50/1</t>
  </si>
  <si>
    <t>16   дош.пит. 2012 г.</t>
  </si>
  <si>
    <t>Салат летний,зелень</t>
  </si>
  <si>
    <t>Сдоба обыкновенная</t>
  </si>
  <si>
    <t>466 дош.пит. 2012г</t>
  </si>
  <si>
    <t>Какао с молоком сгущенным</t>
  </si>
  <si>
    <t>397а дош.пит. 2012 г.</t>
  </si>
  <si>
    <t>294 дош.пит.2012г</t>
  </si>
  <si>
    <t>Салат из картофеля с помидорами,зелень</t>
  </si>
  <si>
    <t>Тефтели из минтая тушеные</t>
  </si>
  <si>
    <t>261дош.пит. 2012г</t>
  </si>
  <si>
    <t>277 дош.пит. 2012</t>
  </si>
  <si>
    <t>Печенье</t>
  </si>
  <si>
    <t>13   дош.пит. 2012 г.</t>
  </si>
  <si>
    <t>Салат из свежих огурцов,зелень</t>
  </si>
  <si>
    <t>393(1) дош.пит. 2012 г.</t>
  </si>
  <si>
    <t>Омлет с зеленым горошком</t>
  </si>
  <si>
    <t>219 дош.пит. 2012г</t>
  </si>
  <si>
    <t xml:space="preserve">Помидор свежий </t>
  </si>
  <si>
    <t>59 Сбор. Рец. 1982г</t>
  </si>
  <si>
    <t>Салат из свежих помидоров и огурцов,зелень</t>
  </si>
  <si>
    <t>Ряженка</t>
  </si>
  <si>
    <t>82 дош.пит. 2012</t>
  </si>
  <si>
    <t>Ватрушка из творога и овощей</t>
  </si>
  <si>
    <t>130/1</t>
  </si>
  <si>
    <t>Йогурт</t>
  </si>
  <si>
    <t>Яблоки свежие/Груши свежие</t>
  </si>
  <si>
    <t>60/5</t>
  </si>
  <si>
    <t>62 дош.пит. 2012</t>
  </si>
  <si>
    <t>92 дош.пит.2012г.</t>
  </si>
  <si>
    <t>60/1</t>
  </si>
  <si>
    <t>63 дош.пит. 2012</t>
  </si>
  <si>
    <t>200/7/1</t>
  </si>
  <si>
    <t>200/15</t>
  </si>
  <si>
    <t>49 а дош.пит.2012г.</t>
  </si>
  <si>
    <t>Примечание*: витаминизация 3-его блюда аскорбиновой кислотой 41 мг на 1 ребенка в сутки.</t>
  </si>
  <si>
    <t>80/80</t>
  </si>
  <si>
    <t>Кофейный напиток с молоком сгущенным</t>
  </si>
  <si>
    <t>396 дош.пит. 2012 г.</t>
  </si>
  <si>
    <t>Приложение</t>
  </si>
  <si>
    <t>Таблица № 1</t>
  </si>
  <si>
    <r>
      <t xml:space="preserve">Анализ калорийности рационов питания в течение дня </t>
    </r>
    <r>
      <rPr>
        <sz val="11"/>
        <color indexed="8"/>
        <rFont val="Liberation Serif"/>
        <family val="1"/>
      </rPr>
      <t xml:space="preserve">(в пределах </t>
    </r>
    <r>
      <rPr>
        <u val="single"/>
        <sz val="11"/>
        <color indexed="8"/>
        <rFont val="Liberation Serif"/>
        <family val="1"/>
      </rPr>
      <t>+</t>
    </r>
    <r>
      <rPr>
        <sz val="11"/>
        <color indexed="8"/>
        <rFont val="Liberation Serif"/>
        <family val="1"/>
      </rPr>
      <t>5%)</t>
    </r>
  </si>
  <si>
    <t>Норма калорийности по СанПиН</t>
  </si>
  <si>
    <t>Фактическая ежедневная калорийность рационов питания по меню</t>
  </si>
  <si>
    <t>питания</t>
  </si>
  <si>
    <t>норма</t>
  </si>
  <si>
    <t>min. (-5%)</t>
  </si>
  <si>
    <t>mak. (+5%)</t>
  </si>
  <si>
    <t>Завтрак</t>
  </si>
  <si>
    <t>2 завтрак</t>
  </si>
  <si>
    <t>Полдник</t>
  </si>
  <si>
    <t>Итого:</t>
  </si>
  <si>
    <t xml:space="preserve"> Пункт 8.1.2.3. Допускается в течение дня отступление от норм калорийности по отдельным приемам пищи в пределах +/- 5% </t>
  </si>
  <si>
    <t xml:space="preserve">при условии, что средний % пищевой ценности за неделю будет соответствовать нормам, приведенным в таблице N 3 приложения N 10 </t>
  </si>
  <si>
    <t>к настоящим Правилам, по каждому приему пищи.</t>
  </si>
  <si>
    <t>Таблица № 2</t>
  </si>
  <si>
    <t>Анализ средней калорийности рационов питания за каждую неделю и меню</t>
  </si>
  <si>
    <t>Норма            по СанПиН</t>
  </si>
  <si>
    <t>Факт калорийности по меню</t>
  </si>
  <si>
    <t xml:space="preserve"> за 1 неделю</t>
  </si>
  <si>
    <t xml:space="preserve"> за 2 неделю</t>
  </si>
  <si>
    <t xml:space="preserve">за  меню </t>
  </si>
  <si>
    <t>Таблица № 3</t>
  </si>
  <si>
    <t>Анализ калорийности суточных рационов питания</t>
  </si>
  <si>
    <t>Норма          по СанПиН</t>
  </si>
  <si>
    <t>За день</t>
  </si>
  <si>
    <t>без полива</t>
  </si>
  <si>
    <t>200/8</t>
  </si>
  <si>
    <t>158 дош.пит. 2012г</t>
  </si>
  <si>
    <t>180   дош.пит. 2012 г.</t>
  </si>
  <si>
    <t xml:space="preserve">Пирог творожный </t>
  </si>
  <si>
    <t>Суп молочный слизистый с овсяной  крупой</t>
  </si>
  <si>
    <t>91 дош.пит.2012</t>
  </si>
  <si>
    <t>Пирожки сдобные печеные с творогом</t>
  </si>
  <si>
    <t>454 дош.пит. 2012г</t>
  </si>
  <si>
    <t>Рагу из овощей</t>
  </si>
  <si>
    <t>137 дош.пит.2012г</t>
  </si>
  <si>
    <t>Конфета</t>
  </si>
  <si>
    <t>Минтай фаршированный</t>
  </si>
  <si>
    <t>Биточки по -Ноябрьски</t>
  </si>
  <si>
    <t>Бананы/Яблоки</t>
  </si>
  <si>
    <t>50/60</t>
  </si>
  <si>
    <t>543 сбор.рец. 1973г</t>
  </si>
  <si>
    <t>Минтая фаршированный</t>
  </si>
  <si>
    <t>Салат из  овощей</t>
  </si>
  <si>
    <t>43 сб..техн.ном.2012</t>
  </si>
  <si>
    <t>92 дош.пит 2012г</t>
  </si>
  <si>
    <t>Суп  молочный манный</t>
  </si>
  <si>
    <t>50/50</t>
  </si>
  <si>
    <t>Бананы/Груши свежие</t>
  </si>
  <si>
    <t xml:space="preserve">Какао с молоком </t>
  </si>
  <si>
    <t>Суп картофельный протертый с гренками</t>
  </si>
  <si>
    <t>79 дош.пит. 2012</t>
  </si>
  <si>
    <t>Картофель в молоке</t>
  </si>
  <si>
    <t>319 дош.пит. 2012</t>
  </si>
  <si>
    <t>53 Дружинина 2004г</t>
  </si>
  <si>
    <t>Яблоки свежие</t>
  </si>
  <si>
    <t>Салат из свежих овощей с яблоками</t>
  </si>
  <si>
    <t>94  дош.пит.2012г.</t>
  </si>
  <si>
    <t>17   дош.пит. 2012 г.</t>
  </si>
  <si>
    <t>243 дош.пит.2012г.</t>
  </si>
  <si>
    <t>372 (1) дош.пит. 2012 г.</t>
  </si>
  <si>
    <t>395 (2) дош.пит. 2012 г.</t>
  </si>
  <si>
    <t>397 (2) дош.пит. 2012 г.</t>
  </si>
  <si>
    <t>392 (1) дош.пит. 2012 г.</t>
  </si>
  <si>
    <t>393 (2) дош.пит. 2012 г.</t>
  </si>
  <si>
    <t>646 (1) сб.рец.и бл.1996</t>
  </si>
  <si>
    <t>646 (2) сб.рец.и бл.1996</t>
  </si>
  <si>
    <t>395(2) дош.пит. 2012 г.</t>
  </si>
  <si>
    <t>382 (3) дош.пит. 2012 г.</t>
  </si>
  <si>
    <t>ТТК № 6 (2)</t>
  </si>
  <si>
    <t>156 (1) Сбор. Рец.1994 г.</t>
  </si>
  <si>
    <t>376 (3) дош.пит.2012г.</t>
  </si>
  <si>
    <t>936 (2) Сбор. Рец.1998 г.</t>
  </si>
  <si>
    <t>936 (3) Сбор. Рец.1998 г.</t>
  </si>
  <si>
    <t>140/2</t>
  </si>
  <si>
    <t>Суп молочный манный</t>
  </si>
  <si>
    <t>190/8</t>
  </si>
  <si>
    <t>Ватрушка с творогом</t>
  </si>
  <si>
    <t>458 дош.пит. 2012г</t>
  </si>
  <si>
    <t>180/15</t>
  </si>
  <si>
    <t>Чай с джемом</t>
  </si>
  <si>
    <t>Повидло</t>
  </si>
  <si>
    <t>Каша вязкая пшеничная</t>
  </si>
  <si>
    <t xml:space="preserve">Суп молочный  с гречневой крупой </t>
  </si>
  <si>
    <t>Суп картофельный  с пшенном, говядина отварная,зелень</t>
  </si>
  <si>
    <t>Запеканка овощная, соус молочный</t>
  </si>
  <si>
    <t>155/350дош.пит.2012г</t>
  </si>
  <si>
    <t>Масло (порциями)</t>
  </si>
  <si>
    <t>6  дош. пит.2012г</t>
  </si>
  <si>
    <t>Салат из белокочанной капусты с морковью</t>
  </si>
  <si>
    <t>20   дош.пит. 2012 г.</t>
  </si>
  <si>
    <t>200/12/1</t>
  </si>
  <si>
    <t>282 дош.пит. 2012</t>
  </si>
  <si>
    <t>Шницели рубленые из говядины</t>
  </si>
  <si>
    <t>392 (3) дош.пит. 2012 г.</t>
  </si>
  <si>
    <t>180/20/1</t>
  </si>
  <si>
    <t>150/15/1</t>
  </si>
  <si>
    <t>393(2) дош.пит. 2012 г.</t>
  </si>
  <si>
    <t>Суп овощной,фрикадельки из говядины,зелень</t>
  </si>
  <si>
    <t>150/12/1</t>
  </si>
  <si>
    <t>94 (1) дош.пит. 2012 г.</t>
  </si>
  <si>
    <t>394 (1) дош.пит. 2012 г.</t>
  </si>
  <si>
    <t>на июнь 2023 года</t>
  </si>
  <si>
    <t>Биточки по -Ноябрьски (оленина,цыпленок)</t>
  </si>
  <si>
    <t>Салат из свежих огурцов, зелень</t>
  </si>
  <si>
    <t>Салат из свеклы с черносливом, зелень</t>
  </si>
  <si>
    <t>Суп молочный пшенный</t>
  </si>
  <si>
    <t>Салат из свежих помидоров с луком репчатым, зелень</t>
  </si>
  <si>
    <t>Компот из яблок  свежих протёртый*</t>
  </si>
  <si>
    <t>Салат из помидоров с растительным маслом, зелень</t>
  </si>
  <si>
    <t>Котлеты по-Ноябрьски (говядина, оленина)</t>
  </si>
  <si>
    <t>Компот из сухофруктов*</t>
  </si>
  <si>
    <t>Суп - пюре из  птицы, зелень</t>
  </si>
  <si>
    <t>Борщ с фасолью и картофелем, сметана, зелень</t>
  </si>
  <si>
    <t>Гуляш из отварной говядины</t>
  </si>
  <si>
    <t>Кисель из яблок  свежих*</t>
  </si>
  <si>
    <t>Салат летний, зелень</t>
  </si>
  <si>
    <t>Запеканка картофельная с овощами</t>
  </si>
  <si>
    <t>Салат из картофеля с помидорами, зелень</t>
  </si>
  <si>
    <t>Напиток из шиповника*</t>
  </si>
  <si>
    <t>Компот из сушеных фруктов*</t>
  </si>
  <si>
    <t>Салат из свежих помидоров и огурцов, зелень</t>
  </si>
  <si>
    <t>Салат из свежих огурцов с луком репчатым,  зелень</t>
  </si>
  <si>
    <t>Суп картофельный  с макаронными изделиями, зелень</t>
  </si>
  <si>
    <t>Компот из  груш*</t>
  </si>
  <si>
    <t>Суп овощной, фрикадельки из говядины,зелень</t>
  </si>
  <si>
    <t>Омлет с сыром, икра кабачковая</t>
  </si>
  <si>
    <t>110/50</t>
  </si>
  <si>
    <t>216, 101 дош.пит 2012г</t>
  </si>
  <si>
    <t>Суп картофельный  с горохом, зелень свежая</t>
  </si>
  <si>
    <t>Борщ с говядиной, сметана, зелень</t>
  </si>
  <si>
    <t>100/60</t>
  </si>
  <si>
    <t>Омлет паровой натуральный, икра овощная</t>
  </si>
  <si>
    <t>Суп - лапша домашняя, филе птицы, зелень</t>
  </si>
  <si>
    <t>200/25/2</t>
  </si>
  <si>
    <t>86, 300 дош.пит. 2012 г.</t>
  </si>
  <si>
    <t>Компот из груш*</t>
  </si>
  <si>
    <t>Салат из свежих огурцов с луком репчатым, зелень</t>
  </si>
  <si>
    <t>30/1</t>
  </si>
  <si>
    <t>150/10/2</t>
  </si>
  <si>
    <t>Борщ с фасолью и картофелем,говядина,сметана,зелень</t>
  </si>
  <si>
    <t xml:space="preserve">Омлет паровой натуральный, икра овощная </t>
  </si>
  <si>
    <t>55, 223 дош.пит. 2012г</t>
  </si>
  <si>
    <t xml:space="preserve">Компот из сушеных фруктов* </t>
  </si>
  <si>
    <t>120/1</t>
  </si>
  <si>
    <t xml:space="preserve">Компот из груш* </t>
  </si>
  <si>
    <t>Биточки из минтая запеченные с маслом</t>
  </si>
  <si>
    <t>80/273дош.пит.2012г.</t>
  </si>
  <si>
    <t xml:space="preserve">Запеканка картофельная с овощами,соус молочный </t>
  </si>
  <si>
    <t>180/350   дош.пит. 2012 г.</t>
  </si>
  <si>
    <t>200/20</t>
  </si>
  <si>
    <t>70/60/1</t>
  </si>
  <si>
    <t>70/70</t>
  </si>
  <si>
    <t>Печень по- строгановски,зелень</t>
  </si>
  <si>
    <t>Чай с грушей и апельсином</t>
  </si>
  <si>
    <t xml:space="preserve"> 54-20гн Сб.р.и тип. м.</t>
  </si>
  <si>
    <t xml:space="preserve"> 54-20гн (2)Сб.р.и тип. м.</t>
  </si>
  <si>
    <t>158 (1) дош.пит. 2012г</t>
  </si>
  <si>
    <t xml:space="preserve">Сумсы печеные </t>
  </si>
  <si>
    <t>200/20/10/1</t>
  </si>
  <si>
    <t>Салат витаминный, зелень</t>
  </si>
  <si>
    <t>30</t>
  </si>
  <si>
    <t>180/15/1</t>
  </si>
  <si>
    <t>Салат овощной с яблоками, зелень</t>
  </si>
  <si>
    <t>150/30</t>
  </si>
  <si>
    <t>180/1</t>
  </si>
  <si>
    <t>Икра свекольная, зелень</t>
  </si>
  <si>
    <t>Салат из белокочанной капусты с морковью, зелень</t>
  </si>
  <si>
    <t>200/1</t>
  </si>
  <si>
    <t>180/7</t>
  </si>
  <si>
    <t>Рассольник ленинградский, зелень</t>
  </si>
  <si>
    <t>40/1</t>
  </si>
  <si>
    <t>150/1</t>
  </si>
  <si>
    <t>Рагу овощное (3-й вариант), зелень</t>
  </si>
  <si>
    <t>150/10</t>
  </si>
  <si>
    <t>150/20/8/1</t>
  </si>
  <si>
    <t>25/5</t>
  </si>
  <si>
    <t>70/80</t>
  </si>
  <si>
    <t>Салат из  овощей, зелень</t>
  </si>
  <si>
    <t xml:space="preserve"> 54-20гн  Сб.р.и тип. м.</t>
  </si>
  <si>
    <t>55/223 дош.пит. 2012г</t>
  </si>
  <si>
    <t>110/40</t>
  </si>
  <si>
    <t>150/17</t>
  </si>
  <si>
    <t>603</t>
  </si>
  <si>
    <t xml:space="preserve">Приложение № 2 </t>
  </si>
  <si>
    <t>приказом МАДОУ "Синеглазка"</t>
  </si>
  <si>
    <r>
      <t xml:space="preserve">от </t>
    </r>
    <r>
      <rPr>
        <u val="single"/>
        <sz val="12"/>
        <rFont val="Liberation Serif"/>
        <family val="1"/>
      </rPr>
      <t xml:space="preserve">25.05.2023 </t>
    </r>
    <r>
      <rPr>
        <sz val="12"/>
        <rFont val="Liberation Serif"/>
        <family val="1"/>
      </rPr>
      <t>№ 118-од</t>
    </r>
  </si>
  <si>
    <t>Приложение № 1</t>
  </si>
  <si>
    <t>Подготовил технолог МАДОУ "Синеглазка" Арсланова А.С.</t>
  </si>
  <si>
    <t>Подготовил технолог МАДОУ "Синеглазка"  Арсланова А.С.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</si>
</sst>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0"/>
    <numFmt numFmtId="179" formatCode="0.000"/>
    <numFmt numFmtId="180" formatCode="0.00000"/>
    <numFmt numFmtId="181" formatCode="0.000000"/>
    <numFmt numFmtId="182" formatCode="0.0%"/>
    <numFmt numFmtId="183" formatCode="0.00;[Red]0.00"/>
    <numFmt numFmtId="184" formatCode="0.0000000"/>
    <numFmt numFmtId="185" formatCode="0.000000000"/>
    <numFmt numFmtId="186" formatCode="0.0000000000"/>
    <numFmt numFmtId="187" formatCode="0.00000000"/>
    <numFmt numFmtId="188" formatCode="mm/yy"/>
    <numFmt numFmtId="189" formatCode="#,##0.00_ ;\-#,##0.00\ "/>
    <numFmt numFmtId="190" formatCode="#,##0_ ;\-#,##0\ "/>
  </numFmts>
  <fonts count="1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Liberation Serif"/>
      <family val="1"/>
    </font>
    <font>
      <sz val="11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u val="single"/>
      <sz val="11"/>
      <name val="Liberation Serif"/>
      <family val="1"/>
    </font>
    <font>
      <b/>
      <sz val="12"/>
      <color indexed="8"/>
      <name val="Liberation Serif"/>
      <family val="1"/>
    </font>
    <font>
      <b/>
      <i/>
      <sz val="12"/>
      <name val="Liberation Serif"/>
      <family val="1"/>
    </font>
    <font>
      <sz val="12"/>
      <color indexed="8"/>
      <name val="Liberation Serif"/>
      <family val="1"/>
    </font>
    <font>
      <i/>
      <sz val="12"/>
      <name val="Liberation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name val="Liberation Serif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Arial"/>
      <family val="2"/>
    </font>
    <font>
      <i/>
      <sz val="11"/>
      <name val="Times New Roman"/>
      <family val="1"/>
    </font>
    <font>
      <b/>
      <sz val="10"/>
      <name val="Liberation Serif"/>
      <family val="1"/>
    </font>
    <font>
      <sz val="10"/>
      <name val="Liberation Serif"/>
      <family val="1"/>
    </font>
    <font>
      <b/>
      <sz val="14"/>
      <name val="Liberation Serif"/>
      <family val="1"/>
    </font>
    <font>
      <b/>
      <u val="single"/>
      <sz val="11"/>
      <name val="Liberation Serif"/>
      <family val="1"/>
    </font>
    <font>
      <b/>
      <i/>
      <sz val="11"/>
      <name val="Times New Roman"/>
      <family val="1"/>
    </font>
    <font>
      <sz val="11"/>
      <color indexed="8"/>
      <name val="Liberation Serif"/>
      <family val="1"/>
    </font>
    <font>
      <u val="single"/>
      <sz val="11"/>
      <color indexed="8"/>
      <name val="Liberation Serif"/>
      <family val="1"/>
    </font>
    <font>
      <b/>
      <sz val="12"/>
      <name val="PT Astra Serif"/>
      <family val="1"/>
    </font>
    <font>
      <b/>
      <sz val="10"/>
      <color indexed="8"/>
      <name val="Times New Roman"/>
      <family val="1"/>
    </font>
    <font>
      <b/>
      <sz val="10"/>
      <color indexed="8"/>
      <name val="Liberation Serif"/>
      <family val="1"/>
    </font>
    <font>
      <u val="single"/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Liberation Serif"/>
      <family val="1"/>
    </font>
    <font>
      <i/>
      <sz val="12"/>
      <color indexed="8"/>
      <name val="Liberation Serif"/>
      <family val="1"/>
    </font>
    <font>
      <sz val="12"/>
      <color indexed="10"/>
      <name val="Times New Roman"/>
      <family val="1"/>
    </font>
    <font>
      <b/>
      <sz val="11"/>
      <color indexed="8"/>
      <name val="Liberation Serif"/>
      <family val="1"/>
    </font>
    <font>
      <b/>
      <sz val="11"/>
      <color indexed="36"/>
      <name val="Liberation Serif"/>
      <family val="1"/>
    </font>
    <font>
      <i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u val="single"/>
      <sz val="11"/>
      <color indexed="8"/>
      <name val="Liberation Serif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Liberation Serif"/>
      <family val="1"/>
    </font>
    <font>
      <b/>
      <sz val="12"/>
      <color rgb="FF000000"/>
      <name val="Liberation Serif"/>
      <family val="1"/>
    </font>
    <font>
      <b/>
      <sz val="12"/>
      <color rgb="FFFF0000"/>
      <name val="Liberation Serif"/>
      <family val="1"/>
    </font>
    <font>
      <sz val="12"/>
      <color rgb="FF000000"/>
      <name val="Liberation Serif"/>
      <family val="1"/>
    </font>
    <font>
      <i/>
      <sz val="12"/>
      <color rgb="FF000000"/>
      <name val="Liberation Serif"/>
      <family val="1"/>
    </font>
    <font>
      <sz val="11"/>
      <color theme="1"/>
      <name val="Liberation Serif"/>
      <family val="1"/>
    </font>
    <font>
      <sz val="12"/>
      <color rgb="FFFF0000"/>
      <name val="Times New Roman"/>
      <family val="1"/>
    </font>
    <font>
      <b/>
      <sz val="10"/>
      <color theme="1"/>
      <name val="Liberation Serif"/>
      <family val="1"/>
    </font>
    <font>
      <b/>
      <sz val="11"/>
      <color theme="1"/>
      <name val="Liberation Serif"/>
      <family val="1"/>
    </font>
    <font>
      <b/>
      <sz val="11"/>
      <color rgb="FF7030A0"/>
      <name val="Liberation Serif"/>
      <family val="1"/>
    </font>
    <font>
      <i/>
      <sz val="10"/>
      <color theme="1"/>
      <name val="Liberation Serif"/>
      <family val="1"/>
    </font>
    <font>
      <sz val="10"/>
      <color theme="1"/>
      <name val="Liberation Serif"/>
      <family val="1"/>
    </font>
    <font>
      <b/>
      <u val="single"/>
      <sz val="11"/>
      <color theme="1"/>
      <name val="Liberation Serif"/>
      <family val="1"/>
    </font>
    <font>
      <b/>
      <sz val="12"/>
      <color theme="1"/>
      <name val="PT Astra Serif"/>
      <family val="1"/>
    </font>
    <font>
      <b/>
      <sz val="12"/>
      <color theme="1"/>
      <name val="Liberation Serif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0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24" fillId="19" borderId="0" applyNumberFormat="0" applyBorder="0" applyAlignment="0" applyProtection="0"/>
    <xf numFmtId="0" fontId="79" fillId="20" borderId="0" applyNumberFormat="0" applyBorder="0" applyAlignment="0" applyProtection="0"/>
    <xf numFmtId="0" fontId="24" fillId="21" borderId="0" applyNumberFormat="0" applyBorder="0" applyAlignment="0" applyProtection="0"/>
    <xf numFmtId="0" fontId="79" fillId="22" borderId="0" applyNumberFormat="0" applyBorder="0" applyAlignment="0" applyProtection="0"/>
    <xf numFmtId="0" fontId="24" fillId="23" borderId="0" applyNumberFormat="0" applyBorder="0" applyAlignment="0" applyProtection="0"/>
    <xf numFmtId="0" fontId="79" fillId="15" borderId="0" applyNumberFormat="0" applyBorder="0" applyAlignment="0" applyProtection="0"/>
    <xf numFmtId="0" fontId="24" fillId="24" borderId="0" applyNumberFormat="0" applyBorder="0" applyAlignment="0" applyProtection="0"/>
    <xf numFmtId="0" fontId="79" fillId="25" borderId="0" applyNumberFormat="0" applyBorder="0" applyAlignment="0" applyProtection="0"/>
    <xf numFmtId="0" fontId="24" fillId="26" borderId="0" applyNumberFormat="0" applyBorder="0" applyAlignment="0" applyProtection="0"/>
    <xf numFmtId="0" fontId="79" fillId="27" borderId="0" applyNumberFormat="0" applyBorder="0" applyAlignment="0" applyProtection="0"/>
    <xf numFmtId="0" fontId="24" fillId="28" borderId="0" applyNumberFormat="0" applyBorder="0" applyAlignment="0" applyProtection="0"/>
    <xf numFmtId="0" fontId="80" fillId="29" borderId="1" applyNumberFormat="0" applyAlignment="0" applyProtection="0"/>
    <xf numFmtId="0" fontId="25" fillId="30" borderId="2" applyNumberFormat="0" applyAlignment="0" applyProtection="0"/>
    <xf numFmtId="0" fontId="81" fillId="31" borderId="3" applyNumberFormat="0" applyAlignment="0" applyProtection="0"/>
    <xf numFmtId="0" fontId="26" fillId="32" borderId="4" applyNumberFormat="0" applyAlignment="0" applyProtection="0"/>
    <xf numFmtId="0" fontId="82" fillId="31" borderId="1" applyNumberFormat="0" applyAlignment="0" applyProtection="0"/>
    <xf numFmtId="0" fontId="27" fillId="32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28" fillId="0" borderId="5" applyNumberFormat="0" applyFill="0" applyAlignment="0" applyProtection="0"/>
    <xf numFmtId="0" fontId="58" fillId="0" borderId="6" applyNumberFormat="0" applyFill="0" applyAlignment="0" applyProtection="0"/>
    <xf numFmtId="0" fontId="29" fillId="0" borderId="7" applyNumberFormat="0" applyFill="0" applyAlignment="0" applyProtection="0"/>
    <xf numFmtId="0" fontId="59" fillId="0" borderId="8" applyNumberFormat="0" applyFill="0" applyAlignment="0" applyProtection="0"/>
    <xf numFmtId="0" fontId="3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31" fillId="0" borderId="9" applyNumberFormat="0" applyFill="0" applyAlignment="0" applyProtection="0"/>
    <xf numFmtId="0" fontId="84" fillId="33" borderId="10" applyNumberFormat="0" applyAlignment="0" applyProtection="0"/>
    <xf numFmtId="0" fontId="32" fillId="34" borderId="11" applyNumberFormat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5" fillId="35" borderId="0" applyNumberFormat="0" applyBorder="0" applyAlignment="0" applyProtection="0"/>
    <xf numFmtId="0" fontId="34" fillId="36" borderId="0" applyNumberFormat="0" applyBorder="0" applyAlignment="0" applyProtection="0"/>
    <xf numFmtId="0" fontId="7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86" fillId="37" borderId="0" applyNumberFormat="0" applyBorder="0" applyAlignment="0" applyProtection="0"/>
    <xf numFmtId="0" fontId="35" fillId="38" borderId="0" applyNumberFormat="0" applyBorder="0" applyAlignment="0" applyProtection="0"/>
    <xf numFmtId="0" fontId="8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9" borderId="12" applyNumberFormat="0" applyFont="0" applyAlignment="0" applyProtection="0"/>
    <xf numFmtId="0" fontId="0" fillId="40" borderId="13" applyNumberFormat="0" applyAlignment="0" applyProtection="0"/>
    <xf numFmtId="9" fontId="0" fillId="0" borderId="0" applyFont="0" applyFill="0" applyBorder="0" applyAlignment="0" applyProtection="0"/>
    <xf numFmtId="0" fontId="88" fillId="0" borderId="14" applyNumberFormat="0" applyFill="0" applyAlignment="0" applyProtection="0"/>
    <xf numFmtId="0" fontId="37" fillId="0" borderId="15" applyNumberFormat="0" applyFill="0" applyAlignment="0" applyProtection="0"/>
    <xf numFmtId="0" fontId="8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41" borderId="0" applyNumberFormat="0" applyBorder="0" applyAlignment="0" applyProtection="0"/>
    <xf numFmtId="0" fontId="39" fillId="4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43" borderId="16" xfId="0" applyFont="1" applyFill="1" applyBorder="1" applyAlignment="1">
      <alignment horizontal="center" vertical="center" wrapText="1"/>
    </xf>
    <xf numFmtId="172" fontId="3" fillId="43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172" fontId="4" fillId="44" borderId="16" xfId="0" applyNumberFormat="1" applyFont="1" applyFill="1" applyBorder="1" applyAlignment="1">
      <alignment horizontal="center" vertical="center" wrapText="1"/>
    </xf>
    <xf numFmtId="1" fontId="4" fillId="44" borderId="16" xfId="0" applyNumberFormat="1" applyFont="1" applyFill="1" applyBorder="1" applyAlignment="1">
      <alignment horizontal="center" vertical="center" wrapText="1"/>
    </xf>
    <xf numFmtId="172" fontId="91" fillId="4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43" borderId="0" xfId="0" applyFont="1" applyFill="1" applyBorder="1" applyAlignment="1">
      <alignment horizontal="lef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172" fontId="9" fillId="0" borderId="4" xfId="81" applyNumberFormat="1" applyFont="1" applyFill="1" applyBorder="1" applyAlignment="1">
      <alignment horizontal="center"/>
      <protection/>
    </xf>
    <xf numFmtId="0" fontId="11" fillId="0" borderId="4" xfId="81" applyFont="1" applyFill="1" applyBorder="1" applyAlignment="1">
      <alignment horizontal="center"/>
      <protection/>
    </xf>
    <xf numFmtId="172" fontId="9" fillId="45" borderId="4" xfId="0" applyNumberFormat="1" applyFont="1" applyFill="1" applyBorder="1" applyAlignment="1">
      <alignment horizontal="center" vertical="center"/>
    </xf>
    <xf numFmtId="172" fontId="9" fillId="0" borderId="4" xfId="81" applyNumberFormat="1" applyFont="1" applyFill="1" applyBorder="1" applyAlignment="1">
      <alignment horizontal="center" wrapText="1"/>
      <protection/>
    </xf>
    <xf numFmtId="172" fontId="9" fillId="0" borderId="4" xfId="0" applyNumberFormat="1" applyFont="1" applyBorder="1" applyAlignment="1">
      <alignment horizontal="center"/>
    </xf>
    <xf numFmtId="0" fontId="11" fillId="0" borderId="4" xfId="81" applyFont="1" applyFill="1" applyBorder="1" applyAlignment="1">
      <alignment horizontal="center" vertical="center"/>
      <protection/>
    </xf>
    <xf numFmtId="1" fontId="11" fillId="0" borderId="4" xfId="81" applyNumberFormat="1" applyFont="1" applyFill="1" applyBorder="1" applyAlignment="1">
      <alignment horizontal="center"/>
      <protection/>
    </xf>
    <xf numFmtId="0" fontId="4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72" fontId="91" fillId="0" borderId="16" xfId="0" applyNumberFormat="1" applyFont="1" applyBorder="1" applyAlignment="1">
      <alignment horizontal="center" vertical="center"/>
    </xf>
    <xf numFmtId="172" fontId="91" fillId="0" borderId="16" xfId="0" applyNumberFormat="1" applyFont="1" applyBorder="1" applyAlignment="1">
      <alignment horizontal="center" vertical="distributed"/>
    </xf>
    <xf numFmtId="0" fontId="11" fillId="45" borderId="4" xfId="81" applyFont="1" applyFill="1" applyBorder="1" applyAlignment="1">
      <alignment horizontal="center"/>
      <protection/>
    </xf>
    <xf numFmtId="172" fontId="9" fillId="45" borderId="4" xfId="0" applyNumberFormat="1" applyFont="1" applyFill="1" applyBorder="1" applyAlignment="1">
      <alignment horizontal="center"/>
    </xf>
    <xf numFmtId="0" fontId="11" fillId="0" borderId="4" xfId="81" applyFont="1" applyBorder="1" applyAlignment="1">
      <alignment horizontal="center"/>
      <protection/>
    </xf>
    <xf numFmtId="172" fontId="9" fillId="0" borderId="4" xfId="81" applyNumberFormat="1" applyFont="1" applyBorder="1" applyAlignment="1">
      <alignment horizontal="center"/>
      <protection/>
    </xf>
    <xf numFmtId="172" fontId="91" fillId="0" borderId="16" xfId="0" applyNumberFormat="1" applyFont="1" applyBorder="1" applyAlignment="1">
      <alignment horizontal="center"/>
    </xf>
    <xf numFmtId="172" fontId="91" fillId="43" borderId="16" xfId="0" applyNumberFormat="1" applyFont="1" applyFill="1" applyBorder="1" applyAlignment="1">
      <alignment horizontal="center" vertical="center"/>
    </xf>
    <xf numFmtId="172" fontId="9" fillId="0" borderId="4" xfId="0" applyNumberFormat="1" applyFont="1" applyBorder="1" applyAlignment="1">
      <alignment horizontal="center" vertical="center"/>
    </xf>
    <xf numFmtId="0" fontId="18" fillId="46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8" fillId="43" borderId="16" xfId="0" applyFont="1" applyFill="1" applyBorder="1" applyAlignment="1">
      <alignment/>
    </xf>
    <xf numFmtId="0" fontId="18" fillId="46" borderId="19" xfId="0" applyFont="1" applyFill="1" applyBorder="1" applyAlignment="1">
      <alignment horizontal="center"/>
    </xf>
    <xf numFmtId="0" fontId="18" fillId="46" borderId="4" xfId="0" applyFont="1" applyFill="1" applyBorder="1" applyAlignment="1">
      <alignment horizontal="center"/>
    </xf>
    <xf numFmtId="0" fontId="3" fillId="43" borderId="16" xfId="0" applyFont="1" applyFill="1" applyBorder="1" applyAlignment="1">
      <alignment horizontal="left" vertical="center" wrapText="1"/>
    </xf>
    <xf numFmtId="0" fontId="5" fillId="43" borderId="16" xfId="0" applyFont="1" applyFill="1" applyBorder="1" applyAlignment="1">
      <alignment horizontal="left" vertical="center" wrapText="1"/>
    </xf>
    <xf numFmtId="0" fontId="18" fillId="46" borderId="4" xfId="0" applyFont="1" applyFill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18" fillId="46" borderId="4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172" fontId="4" fillId="47" borderId="16" xfId="0" applyNumberFormat="1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18" fillId="46" borderId="4" xfId="0" applyFont="1" applyFill="1" applyBorder="1" applyAlignment="1">
      <alignment horizontal="center" vertical="center"/>
    </xf>
    <xf numFmtId="0" fontId="18" fillId="46" borderId="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vertical="center" wrapText="1"/>
    </xf>
    <xf numFmtId="179" fontId="4" fillId="44" borderId="16" xfId="0" applyNumberFormat="1" applyFont="1" applyFill="1" applyBorder="1" applyAlignment="1">
      <alignment horizontal="center" vertical="center" wrapText="1"/>
    </xf>
    <xf numFmtId="0" fontId="18" fillId="46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9" fillId="0" borderId="4" xfId="81" applyFont="1" applyBorder="1" applyAlignment="1">
      <alignment horizontal="left" vertical="center"/>
      <protection/>
    </xf>
    <xf numFmtId="0" fontId="18" fillId="46" borderId="0" xfId="0" applyFont="1" applyFill="1" applyBorder="1" applyAlignment="1">
      <alignment horizontal="center"/>
    </xf>
    <xf numFmtId="0" fontId="15" fillId="43" borderId="16" xfId="81" applyFont="1" applyFill="1" applyBorder="1" applyAlignment="1">
      <alignment horizontal="center" vertical="center"/>
      <protection/>
    </xf>
    <xf numFmtId="172" fontId="14" fillId="43" borderId="16" xfId="81" applyNumberFormat="1" applyFont="1" applyFill="1" applyBorder="1" applyAlignment="1">
      <alignment horizontal="center"/>
      <protection/>
    </xf>
    <xf numFmtId="0" fontId="18" fillId="46" borderId="16" xfId="0" applyFont="1" applyFill="1" applyBorder="1" applyAlignment="1">
      <alignment/>
    </xf>
    <xf numFmtId="0" fontId="18" fillId="46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16" fontId="5" fillId="0" borderId="16" xfId="0" applyNumberFormat="1" applyFont="1" applyFill="1" applyBorder="1" applyAlignment="1">
      <alignment horizontal="left" vertical="center" wrapText="1"/>
    </xf>
    <xf numFmtId="172" fontId="9" fillId="0" borderId="18" xfId="81" applyNumberFormat="1" applyFont="1" applyFill="1" applyBorder="1" applyAlignment="1">
      <alignment horizontal="center"/>
      <protection/>
    </xf>
    <xf numFmtId="172" fontId="9" fillId="0" borderId="4" xfId="81" applyNumberFormat="1" applyFont="1" applyBorder="1" applyAlignment="1">
      <alignment horizontal="center" vertical="center"/>
      <protection/>
    </xf>
    <xf numFmtId="172" fontId="9" fillId="0" borderId="4" xfId="81" applyNumberFormat="1" applyFont="1" applyBorder="1" applyAlignment="1">
      <alignment horizontal="center" vertical="center" wrapText="1"/>
      <protection/>
    </xf>
    <xf numFmtId="172" fontId="9" fillId="0" borderId="4" xfId="81" applyNumberFormat="1" applyFont="1" applyBorder="1" applyAlignment="1">
      <alignment horizontal="center" wrapText="1"/>
      <protection/>
    </xf>
    <xf numFmtId="0" fontId="92" fillId="43" borderId="16" xfId="0" applyFont="1" applyFill="1" applyBorder="1" applyAlignment="1">
      <alignment horizontal="center" vertical="center" wrapText="1"/>
    </xf>
    <xf numFmtId="172" fontId="92" fillId="43" borderId="16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0" fontId="92" fillId="44" borderId="16" xfId="0" applyFont="1" applyFill="1" applyBorder="1" applyAlignment="1">
      <alignment horizontal="center" vertical="center" wrapText="1"/>
    </xf>
    <xf numFmtId="0" fontId="18" fillId="46" borderId="22" xfId="0" applyFont="1" applyFill="1" applyBorder="1" applyAlignment="1">
      <alignment horizontal="center"/>
    </xf>
    <xf numFmtId="0" fontId="18" fillId="46" borderId="23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3" fillId="43" borderId="24" xfId="0" applyFont="1" applyFill="1" applyBorder="1" applyAlignment="1">
      <alignment horizontal="left" vertical="center" wrapText="1"/>
    </xf>
    <xf numFmtId="0" fontId="18" fillId="46" borderId="16" xfId="0" applyFont="1" applyFill="1" applyBorder="1" applyAlignment="1">
      <alignment horizontal="center" vertical="center"/>
    </xf>
    <xf numFmtId="0" fontId="11" fillId="0" borderId="4" xfId="81" applyFont="1" applyBorder="1" applyAlignment="1">
      <alignment horizontal="center" vertical="center"/>
      <protection/>
    </xf>
    <xf numFmtId="1" fontId="11" fillId="0" borderId="4" xfId="81" applyNumberFormat="1" applyFont="1" applyBorder="1" applyAlignment="1">
      <alignment horizontal="center" vertical="center"/>
      <protection/>
    </xf>
    <xf numFmtId="172" fontId="9" fillId="0" borderId="4" xfId="81" applyNumberFormat="1" applyFont="1" applyFill="1" applyBorder="1" applyAlignment="1">
      <alignment horizontal="center" vertical="center"/>
      <protection/>
    </xf>
    <xf numFmtId="1" fontId="11" fillId="0" borderId="4" xfId="81" applyNumberFormat="1" applyFont="1" applyFill="1" applyBorder="1" applyAlignment="1">
      <alignment horizontal="center" vertical="center"/>
      <protection/>
    </xf>
    <xf numFmtId="172" fontId="21" fillId="0" borderId="4" xfId="81" applyNumberFormat="1" applyFont="1" applyBorder="1" applyAlignment="1">
      <alignment horizontal="center" vertical="center"/>
      <protection/>
    </xf>
    <xf numFmtId="0" fontId="11" fillId="0" borderId="4" xfId="81" applyFont="1" applyBorder="1" applyAlignment="1">
      <alignment horizontal="center" wrapText="1"/>
      <protection/>
    </xf>
    <xf numFmtId="1" fontId="11" fillId="0" borderId="4" xfId="81" applyNumberFormat="1" applyFont="1" applyBorder="1" applyAlignment="1">
      <alignment horizontal="center" vertical="center" wrapText="1"/>
      <protection/>
    </xf>
    <xf numFmtId="0" fontId="92" fillId="43" borderId="16" xfId="0" applyFont="1" applyFill="1" applyBorder="1" applyAlignment="1">
      <alignment horizontal="center" vertical="center"/>
    </xf>
    <xf numFmtId="172" fontId="91" fillId="43" borderId="16" xfId="0" applyNumberFormat="1" applyFont="1" applyFill="1" applyBorder="1" applyAlignment="1">
      <alignment horizontal="center"/>
    </xf>
    <xf numFmtId="0" fontId="9" fillId="0" borderId="4" xfId="81" applyFont="1" applyBorder="1" applyAlignment="1">
      <alignment horizontal="left" vertical="center" wrapText="1"/>
      <protection/>
    </xf>
    <xf numFmtId="0" fontId="11" fillId="0" borderId="4" xfId="81" applyFont="1" applyBorder="1" applyAlignment="1">
      <alignment horizontal="center" vertical="center" wrapText="1"/>
      <protection/>
    </xf>
    <xf numFmtId="172" fontId="9" fillId="45" borderId="4" xfId="0" applyNumberFormat="1" applyFont="1" applyFill="1" applyBorder="1" applyAlignment="1">
      <alignment horizontal="center" vertical="center" wrapText="1"/>
    </xf>
    <xf numFmtId="172" fontId="9" fillId="0" borderId="4" xfId="0" applyNumberFormat="1" applyFont="1" applyBorder="1" applyAlignment="1">
      <alignment horizontal="center" vertical="distributed" wrapText="1"/>
    </xf>
    <xf numFmtId="172" fontId="9" fillId="45" borderId="4" xfId="0" applyNumberFormat="1" applyFont="1" applyFill="1" applyBorder="1" applyAlignment="1">
      <alignment horizontal="center" vertical="distributed" wrapText="1"/>
    </xf>
    <xf numFmtId="0" fontId="11" fillId="0" borderId="16" xfId="81" applyFont="1" applyFill="1" applyBorder="1" applyAlignment="1">
      <alignment horizontal="center"/>
      <protection/>
    </xf>
    <xf numFmtId="0" fontId="11" fillId="0" borderId="16" xfId="81" applyFont="1" applyBorder="1" applyAlignment="1">
      <alignment horizontal="center"/>
      <protection/>
    </xf>
    <xf numFmtId="0" fontId="11" fillId="43" borderId="4" xfId="81" applyFont="1" applyFill="1" applyBorder="1" applyAlignment="1">
      <alignment horizontal="center" vertical="center" wrapText="1"/>
      <protection/>
    </xf>
    <xf numFmtId="172" fontId="9" fillId="43" borderId="4" xfId="81" applyNumberFormat="1" applyFont="1" applyFill="1" applyBorder="1" applyAlignment="1">
      <alignment horizontal="center" vertical="center" wrapText="1"/>
      <protection/>
    </xf>
    <xf numFmtId="1" fontId="11" fillId="43" borderId="4" xfId="81" applyNumberFormat="1" applyFont="1" applyFill="1" applyBorder="1" applyAlignment="1">
      <alignment horizontal="center" vertical="center" wrapText="1"/>
      <protection/>
    </xf>
    <xf numFmtId="0" fontId="11" fillId="0" borderId="4" xfId="81" applyFont="1" applyFill="1" applyBorder="1" applyAlignment="1">
      <alignment horizontal="center" vertical="center" wrapText="1"/>
      <protection/>
    </xf>
    <xf numFmtId="172" fontId="9" fillId="0" borderId="4" xfId="81" applyNumberFormat="1" applyFont="1" applyFill="1" applyBorder="1" applyAlignment="1">
      <alignment horizontal="center" vertical="center" wrapText="1"/>
      <protection/>
    </xf>
    <xf numFmtId="0" fontId="11" fillId="43" borderId="4" xfId="72" applyFont="1" applyFill="1" applyBorder="1" applyAlignment="1">
      <alignment horizontal="center" vertical="center"/>
      <protection/>
    </xf>
    <xf numFmtId="0" fontId="9" fillId="0" borderId="4" xfId="81" applyFont="1" applyFill="1" applyBorder="1" applyAlignment="1">
      <alignment horizontal="left" vertical="center" wrapText="1"/>
      <protection/>
    </xf>
    <xf numFmtId="172" fontId="9" fillId="43" borderId="4" xfId="81" applyNumberFormat="1" applyFont="1" applyFill="1" applyBorder="1" applyAlignment="1">
      <alignment horizontal="center"/>
      <protection/>
    </xf>
    <xf numFmtId="0" fontId="22" fillId="0" borderId="4" xfId="81" applyFont="1" applyBorder="1" applyAlignment="1">
      <alignment horizontal="center"/>
      <protection/>
    </xf>
    <xf numFmtId="0" fontId="11" fillId="0" borderId="4" xfId="0" applyFont="1" applyBorder="1" applyAlignment="1">
      <alignment horizontal="center"/>
    </xf>
    <xf numFmtId="0" fontId="4" fillId="0" borderId="4" xfId="81" applyFont="1" applyFill="1" applyBorder="1" applyAlignment="1">
      <alignment horizontal="center" vertical="center"/>
      <protection/>
    </xf>
    <xf numFmtId="0" fontId="11" fillId="45" borderId="16" xfId="81" applyFont="1" applyFill="1" applyBorder="1" applyAlignment="1">
      <alignment horizontal="center"/>
      <protection/>
    </xf>
    <xf numFmtId="172" fontId="10" fillId="0" borderId="4" xfId="0" applyNumberFormat="1" applyFont="1" applyBorder="1" applyAlignment="1">
      <alignment horizontal="center" vertical="center"/>
    </xf>
    <xf numFmtId="0" fontId="11" fillId="43" borderId="4" xfId="81" applyFont="1" applyFill="1" applyBorder="1" applyAlignment="1">
      <alignment horizontal="center"/>
      <protection/>
    </xf>
    <xf numFmtId="1" fontId="92" fillId="43" borderId="16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9" fillId="0" borderId="0" xfId="81" applyFont="1" applyBorder="1" applyAlignment="1">
      <alignment vertical="center"/>
      <protection/>
    </xf>
    <xf numFmtId="172" fontId="9" fillId="0" borderId="4" xfId="76" applyNumberFormat="1" applyFont="1" applyBorder="1" applyAlignment="1">
      <alignment horizontal="center"/>
      <protection/>
    </xf>
    <xf numFmtId="172" fontId="9" fillId="0" borderId="16" xfId="81" applyNumberFormat="1" applyFont="1" applyFill="1" applyBorder="1" applyAlignment="1">
      <alignment horizontal="center"/>
      <protection/>
    </xf>
    <xf numFmtId="0" fontId="4" fillId="0" borderId="4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19" xfId="81" applyFont="1" applyFill="1" applyBorder="1" applyAlignment="1">
      <alignment horizontal="center" vertical="center"/>
      <protection/>
    </xf>
    <xf numFmtId="172" fontId="9" fillId="0" borderId="19" xfId="81" applyNumberFormat="1" applyFont="1" applyFill="1" applyBorder="1" applyAlignment="1">
      <alignment horizontal="center"/>
      <protection/>
    </xf>
    <xf numFmtId="1" fontId="4" fillId="0" borderId="16" xfId="0" applyNumberFormat="1" applyFont="1" applyBorder="1" applyAlignment="1">
      <alignment horizontal="center" vertical="center" wrapText="1"/>
    </xf>
    <xf numFmtId="1" fontId="92" fillId="43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43" borderId="16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 vertical="center"/>
    </xf>
    <xf numFmtId="172" fontId="15" fillId="0" borderId="25" xfId="0" applyNumberFormat="1" applyFont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/>
    </xf>
    <xf numFmtId="172" fontId="9" fillId="0" borderId="16" xfId="81" applyNumberFormat="1" applyFont="1" applyBorder="1" applyAlignment="1">
      <alignment horizontal="center"/>
      <protection/>
    </xf>
    <xf numFmtId="172" fontId="15" fillId="43" borderId="16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Alignment="1">
      <alignment/>
    </xf>
    <xf numFmtId="172" fontId="18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2" fontId="13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 horizontal="left" vertical="center"/>
    </xf>
    <xf numFmtId="172" fontId="14" fillId="0" borderId="0" xfId="0" applyNumberFormat="1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left" vertical="center"/>
    </xf>
    <xf numFmtId="172" fontId="16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17" fillId="0" borderId="26" xfId="81" applyNumberFormat="1" applyFont="1" applyFill="1" applyBorder="1" applyAlignment="1">
      <alignment horizontal="center" vertical="center" wrapText="1"/>
      <protection/>
    </xf>
    <xf numFmtId="172" fontId="3" fillId="0" borderId="16" xfId="0" applyNumberFormat="1" applyFont="1" applyBorder="1" applyAlignment="1">
      <alignment/>
    </xf>
    <xf numFmtId="0" fontId="11" fillId="0" borderId="19" xfId="81" applyFont="1" applyBorder="1" applyAlignment="1">
      <alignment horizontal="center"/>
      <protection/>
    </xf>
    <xf numFmtId="172" fontId="9" fillId="0" borderId="19" xfId="81" applyNumberFormat="1" applyFont="1" applyBorder="1" applyAlignment="1">
      <alignment horizontal="center"/>
      <protection/>
    </xf>
    <xf numFmtId="0" fontId="11" fillId="0" borderId="18" xfId="81" applyFont="1" applyFill="1" applyBorder="1" applyAlignment="1">
      <alignment horizontal="center"/>
      <protection/>
    </xf>
    <xf numFmtId="172" fontId="10" fillId="45" borderId="18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94" fillId="48" borderId="16" xfId="0" applyFont="1" applyFill="1" applyBorder="1" applyAlignment="1">
      <alignment horizontal="center" vertical="center" wrapText="1"/>
    </xf>
    <xf numFmtId="0" fontId="94" fillId="48" borderId="16" xfId="0" applyFont="1" applyFill="1" applyBorder="1" applyAlignment="1">
      <alignment horizontal="justify" vertical="center" wrapText="1"/>
    </xf>
    <xf numFmtId="0" fontId="14" fillId="48" borderId="16" xfId="0" applyFont="1" applyFill="1" applyBorder="1" applyAlignment="1">
      <alignment horizontal="center" vertical="center"/>
    </xf>
    <xf numFmtId="0" fontId="13" fillId="48" borderId="16" xfId="0" applyFont="1" applyFill="1" applyBorder="1" applyAlignment="1">
      <alignment horizontal="center" vertical="center"/>
    </xf>
    <xf numFmtId="0" fontId="95" fillId="48" borderId="16" xfId="0" applyFont="1" applyFill="1" applyBorder="1" applyAlignment="1">
      <alignment horizontal="center" vertical="center"/>
    </xf>
    <xf numFmtId="172" fontId="15" fillId="48" borderId="16" xfId="0" applyNumberFormat="1" applyFont="1" applyFill="1" applyBorder="1" applyAlignment="1">
      <alignment horizontal="center" vertical="center"/>
    </xf>
    <xf numFmtId="1" fontId="14" fillId="48" borderId="16" xfId="0" applyNumberFormat="1" applyFont="1" applyFill="1" applyBorder="1" applyAlignment="1">
      <alignment horizontal="center" vertical="center"/>
    </xf>
    <xf numFmtId="0" fontId="96" fillId="43" borderId="16" xfId="0" applyFont="1" applyFill="1" applyBorder="1" applyAlignment="1">
      <alignment vertical="center" wrapText="1"/>
    </xf>
    <xf numFmtId="0" fontId="19" fillId="43" borderId="16" xfId="0" applyFont="1" applyFill="1" applyBorder="1" applyAlignment="1">
      <alignment horizontal="left" vertical="center" wrapText="1" indent="4"/>
    </xf>
    <xf numFmtId="0" fontId="96" fillId="43" borderId="16" xfId="0" applyFont="1" applyFill="1" applyBorder="1" applyAlignment="1">
      <alignment horizontal="center" vertical="center" wrapText="1"/>
    </xf>
    <xf numFmtId="0" fontId="14" fillId="43" borderId="16" xfId="0" applyFont="1" applyFill="1" applyBorder="1" applyAlignment="1">
      <alignment horizontal="center" vertical="center"/>
    </xf>
    <xf numFmtId="0" fontId="13" fillId="43" borderId="16" xfId="0" applyFont="1" applyFill="1" applyBorder="1" applyAlignment="1">
      <alignment horizontal="center" vertical="center"/>
    </xf>
    <xf numFmtId="172" fontId="15" fillId="43" borderId="16" xfId="0" applyNumberFormat="1" applyFont="1" applyFill="1" applyBorder="1" applyAlignment="1">
      <alignment horizontal="center" vertical="center"/>
    </xf>
    <xf numFmtId="1" fontId="14" fillId="43" borderId="16" xfId="0" applyNumberFormat="1" applyFont="1" applyFill="1" applyBorder="1" applyAlignment="1">
      <alignment horizontal="center" vertical="center"/>
    </xf>
    <xf numFmtId="0" fontId="94" fillId="43" borderId="16" xfId="0" applyFont="1" applyFill="1" applyBorder="1" applyAlignment="1">
      <alignment horizontal="center" vertical="center" wrapText="1"/>
    </xf>
    <xf numFmtId="0" fontId="94" fillId="48" borderId="16" xfId="0" applyFont="1" applyFill="1" applyBorder="1" applyAlignment="1">
      <alignment vertical="center" wrapText="1"/>
    </xf>
    <xf numFmtId="0" fontId="15" fillId="48" borderId="16" xfId="0" applyFont="1" applyFill="1" applyBorder="1" applyAlignment="1">
      <alignment horizontal="center" vertical="center" wrapText="1"/>
    </xf>
    <xf numFmtId="0" fontId="14" fillId="43" borderId="16" xfId="0" applyFont="1" applyFill="1" applyBorder="1" applyAlignment="1">
      <alignment horizontal="center" vertical="center" wrapText="1"/>
    </xf>
    <xf numFmtId="0" fontId="97" fillId="43" borderId="16" xfId="0" applyFont="1" applyFill="1" applyBorder="1" applyAlignment="1">
      <alignment vertical="center" wrapText="1"/>
    </xf>
    <xf numFmtId="0" fontId="20" fillId="43" borderId="16" xfId="0" applyFont="1" applyFill="1" applyBorder="1" applyAlignment="1">
      <alignment horizontal="center" vertical="center" wrapText="1"/>
    </xf>
    <xf numFmtId="0" fontId="95" fillId="43" borderId="16" xfId="0" applyFont="1" applyFill="1" applyBorder="1" applyAlignment="1">
      <alignment horizontal="center" vertical="center"/>
    </xf>
    <xf numFmtId="0" fontId="14" fillId="43" borderId="16" xfId="0" applyFont="1" applyFill="1" applyBorder="1" applyAlignment="1">
      <alignment horizontal="left" vertical="center" wrapText="1" indent="4"/>
    </xf>
    <xf numFmtId="0" fontId="97" fillId="48" borderId="16" xfId="0" applyFont="1" applyFill="1" applyBorder="1" applyAlignment="1">
      <alignment vertical="center" wrapText="1"/>
    </xf>
    <xf numFmtId="0" fontId="18" fillId="48" borderId="16" xfId="0" applyFont="1" applyFill="1" applyBorder="1" applyAlignment="1">
      <alignment horizontal="center" vertical="center" wrapText="1"/>
    </xf>
    <xf numFmtId="0" fontId="96" fillId="43" borderId="16" xfId="0" applyFont="1" applyFill="1" applyBorder="1" applyAlignment="1">
      <alignment horizontal="left" vertical="center" wrapText="1" indent="4"/>
    </xf>
    <xf numFmtId="0" fontId="15" fillId="43" borderId="16" xfId="0" applyFont="1" applyFill="1" applyBorder="1" applyAlignment="1">
      <alignment horizontal="center" vertical="center"/>
    </xf>
    <xf numFmtId="0" fontId="15" fillId="48" borderId="16" xfId="0" applyFont="1" applyFill="1" applyBorder="1" applyAlignment="1">
      <alignment vertical="center" wrapText="1"/>
    </xf>
    <xf numFmtId="0" fontId="94" fillId="0" borderId="27" xfId="0" applyFont="1" applyFill="1" applyBorder="1" applyAlignment="1">
      <alignment horizontal="center" vertical="center" wrapText="1"/>
    </xf>
    <xf numFmtId="0" fontId="96" fillId="0" borderId="27" xfId="0" applyFont="1" applyFill="1" applyBorder="1" applyAlignment="1">
      <alignment vertical="center" wrapText="1"/>
    </xf>
    <xf numFmtId="0" fontId="96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27" xfId="0" applyFont="1" applyFill="1" applyBorder="1" applyAlignment="1">
      <alignment/>
    </xf>
    <xf numFmtId="0" fontId="94" fillId="0" borderId="16" xfId="0" applyFont="1" applyFill="1" applyBorder="1" applyAlignment="1">
      <alignment horizontal="center" vertical="center" wrapText="1"/>
    </xf>
    <xf numFmtId="0" fontId="96" fillId="0" borderId="16" xfId="0" applyFont="1" applyFill="1" applyBorder="1" applyAlignment="1">
      <alignment vertical="center" wrapText="1"/>
    </xf>
    <xf numFmtId="0" fontId="96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0" fontId="98" fillId="43" borderId="16" xfId="0" applyFont="1" applyFill="1" applyBorder="1" applyAlignment="1">
      <alignment horizontal="center" vertical="center"/>
    </xf>
    <xf numFmtId="1" fontId="14" fillId="49" borderId="16" xfId="0" applyNumberFormat="1" applyFont="1" applyFill="1" applyBorder="1" applyAlignment="1">
      <alignment horizontal="center" vertical="center"/>
    </xf>
    <xf numFmtId="0" fontId="3" fillId="43" borderId="16" xfId="0" applyFont="1" applyFill="1" applyBorder="1" applyAlignment="1">
      <alignment horizontal="left" vertical="center"/>
    </xf>
    <xf numFmtId="172" fontId="9" fillId="46" borderId="4" xfId="0" applyNumberFormat="1" applyFont="1" applyFill="1" applyBorder="1" applyAlignment="1">
      <alignment horizontal="center"/>
    </xf>
    <xf numFmtId="0" fontId="96" fillId="0" borderId="16" xfId="0" applyFont="1" applyFill="1" applyBorder="1" applyAlignment="1">
      <alignment vertical="center"/>
    </xf>
    <xf numFmtId="190" fontId="4" fillId="44" borderId="16" xfId="0" applyNumberFormat="1" applyFont="1" applyFill="1" applyBorder="1" applyAlignment="1">
      <alignment horizontal="center" vertical="center" wrapText="1"/>
    </xf>
    <xf numFmtId="0" fontId="11" fillId="43" borderId="4" xfId="81" applyFont="1" applyFill="1" applyBorder="1" applyAlignment="1">
      <alignment horizontal="center" vertical="center"/>
      <protection/>
    </xf>
    <xf numFmtId="0" fontId="11" fillId="46" borderId="4" xfId="81" applyFont="1" applyFill="1" applyBorder="1" applyAlignment="1">
      <alignment horizontal="center"/>
      <protection/>
    </xf>
    <xf numFmtId="172" fontId="9" fillId="46" borderId="18" xfId="0" applyNumberFormat="1" applyFont="1" applyFill="1" applyBorder="1" applyAlignment="1">
      <alignment horizontal="center" vertical="center" wrapText="1"/>
    </xf>
    <xf numFmtId="0" fontId="9" fillId="43" borderId="19" xfId="81" applyFont="1" applyFill="1" applyBorder="1" applyAlignment="1">
      <alignment horizontal="left" vertical="center" wrapText="1"/>
      <protection/>
    </xf>
    <xf numFmtId="0" fontId="11" fillId="43" borderId="19" xfId="81" applyFont="1" applyFill="1" applyBorder="1" applyAlignment="1">
      <alignment horizontal="center" vertical="center" wrapText="1"/>
      <protection/>
    </xf>
    <xf numFmtId="172" fontId="9" fillId="43" borderId="19" xfId="81" applyNumberFormat="1" applyFont="1" applyFill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92" fillId="44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0" fontId="9" fillId="0" borderId="28" xfId="81" applyFont="1" applyBorder="1" applyAlignment="1">
      <alignment horizontal="left" vertical="center" wrapText="1"/>
      <protection/>
    </xf>
    <xf numFmtId="0" fontId="9" fillId="43" borderId="28" xfId="81" applyFont="1" applyFill="1" applyBorder="1" applyAlignment="1">
      <alignment horizontal="left" vertical="center" wrapText="1"/>
      <protection/>
    </xf>
    <xf numFmtId="0" fontId="11" fillId="0" borderId="21" xfId="81" applyFont="1" applyFill="1" applyBorder="1" applyAlignment="1">
      <alignment horizontal="center" vertical="center"/>
      <protection/>
    </xf>
    <xf numFmtId="172" fontId="9" fillId="0" borderId="21" xfId="81" applyNumberFormat="1" applyFont="1" applyFill="1" applyBorder="1" applyAlignment="1">
      <alignment horizontal="center"/>
      <protection/>
    </xf>
    <xf numFmtId="0" fontId="11" fillId="0" borderId="16" xfId="81" applyFont="1" applyFill="1" applyBorder="1" applyAlignment="1">
      <alignment horizontal="center" vertical="center"/>
      <protection/>
    </xf>
    <xf numFmtId="0" fontId="9" fillId="0" borderId="4" xfId="81" applyFont="1" applyFill="1" applyBorder="1" applyAlignment="1">
      <alignment horizontal="left" vertical="center"/>
      <protection/>
    </xf>
    <xf numFmtId="0" fontId="11" fillId="45" borderId="19" xfId="0" applyFont="1" applyFill="1" applyBorder="1" applyAlignment="1">
      <alignment horizontal="center" vertical="center"/>
    </xf>
    <xf numFmtId="172" fontId="9" fillId="45" borderId="19" xfId="0" applyNumberFormat="1" applyFont="1" applyFill="1" applyBorder="1" applyAlignment="1">
      <alignment horizontal="center" vertical="center"/>
    </xf>
    <xf numFmtId="0" fontId="9" fillId="0" borderId="19" xfId="81" applyFont="1" applyBorder="1" applyAlignment="1">
      <alignment horizontal="left" vertical="center"/>
      <protection/>
    </xf>
    <xf numFmtId="0" fontId="12" fillId="0" borderId="0" xfId="0" applyFont="1" applyBorder="1" applyAlignment="1">
      <alignment vertical="center"/>
    </xf>
    <xf numFmtId="0" fontId="9" fillId="0" borderId="29" xfId="81" applyFont="1" applyFill="1" applyBorder="1" applyAlignment="1">
      <alignment vertical="center" wrapText="1"/>
      <protection/>
    </xf>
    <xf numFmtId="0" fontId="9" fillId="45" borderId="4" xfId="81" applyFont="1" applyFill="1" applyBorder="1" applyAlignment="1">
      <alignment vertical="center"/>
      <protection/>
    </xf>
    <xf numFmtId="0" fontId="9" fillId="0" borderId="4" xfId="81" applyFont="1" applyFill="1" applyBorder="1" applyAlignment="1">
      <alignment vertical="center"/>
      <protection/>
    </xf>
    <xf numFmtId="0" fontId="9" fillId="0" borderId="18" xfId="81" applyFont="1" applyFill="1" applyBorder="1" applyAlignment="1">
      <alignment vertical="center" wrapText="1"/>
      <protection/>
    </xf>
    <xf numFmtId="0" fontId="9" fillId="0" borderId="4" xfId="81" applyFont="1" applyBorder="1" applyAlignment="1">
      <alignment vertical="center"/>
      <protection/>
    </xf>
    <xf numFmtId="0" fontId="9" fillId="0" borderId="4" xfId="81" applyFont="1" applyBorder="1" applyAlignment="1">
      <alignment vertical="center" wrapText="1"/>
      <protection/>
    </xf>
    <xf numFmtId="0" fontId="9" fillId="45" borderId="16" xfId="81" applyFont="1" applyFill="1" applyBorder="1" applyAlignment="1">
      <alignment vertical="center" wrapText="1"/>
      <protection/>
    </xf>
    <xf numFmtId="0" fontId="9" fillId="0" borderId="4" xfId="81" applyFont="1" applyFill="1" applyBorder="1" applyAlignment="1">
      <alignment vertical="center" wrapText="1"/>
      <protection/>
    </xf>
    <xf numFmtId="0" fontId="3" fillId="0" borderId="4" xfId="81" applyFont="1" applyBorder="1" applyAlignment="1">
      <alignment vertical="center"/>
      <protection/>
    </xf>
    <xf numFmtId="0" fontId="9" fillId="43" borderId="4" xfId="81" applyFont="1" applyFill="1" applyBorder="1" applyAlignment="1">
      <alignment vertical="center"/>
      <protection/>
    </xf>
    <xf numFmtId="0" fontId="9" fillId="45" borderId="4" xfId="81" applyFont="1" applyFill="1" applyBorder="1" applyAlignment="1">
      <alignment vertical="center" wrapText="1"/>
      <protection/>
    </xf>
    <xf numFmtId="0" fontId="3" fillId="0" borderId="16" xfId="81" applyFont="1" applyBorder="1" applyAlignment="1">
      <alignment vertical="center"/>
      <protection/>
    </xf>
    <xf numFmtId="0" fontId="9" fillId="46" borderId="4" xfId="81" applyFont="1" applyFill="1" applyBorder="1" applyAlignment="1">
      <alignment vertical="center"/>
      <protection/>
    </xf>
    <xf numFmtId="0" fontId="9" fillId="43" borderId="4" xfId="72" applyFont="1" applyFill="1" applyBorder="1" applyAlignment="1">
      <alignment vertical="center"/>
      <protection/>
    </xf>
    <xf numFmtId="0" fontId="19" fillId="45" borderId="16" xfId="81" applyFont="1" applyFill="1" applyBorder="1" applyAlignment="1">
      <alignment vertical="center"/>
      <protection/>
    </xf>
    <xf numFmtId="0" fontId="3" fillId="0" borderId="4" xfId="81" applyFont="1" applyBorder="1" applyAlignment="1">
      <alignment horizontal="left" vertical="center"/>
      <protection/>
    </xf>
    <xf numFmtId="0" fontId="3" fillId="43" borderId="4" xfId="81" applyFont="1" applyFill="1" applyBorder="1" applyAlignment="1">
      <alignment vertical="center" wrapText="1"/>
      <protection/>
    </xf>
    <xf numFmtId="0" fontId="9" fillId="46" borderId="28" xfId="81" applyFont="1" applyFill="1" applyBorder="1" applyAlignment="1">
      <alignment vertical="center"/>
      <protection/>
    </xf>
    <xf numFmtId="0" fontId="9" fillId="0" borderId="28" xfId="81" applyFont="1" applyFill="1" applyBorder="1" applyAlignment="1">
      <alignment vertical="center" wrapText="1"/>
      <protection/>
    </xf>
    <xf numFmtId="0" fontId="3" fillId="0" borderId="4" xfId="81" applyFont="1" applyFill="1" applyBorder="1" applyAlignment="1">
      <alignment vertical="center"/>
      <protection/>
    </xf>
    <xf numFmtId="0" fontId="21" fillId="0" borderId="4" xfId="81" applyFont="1" applyBorder="1" applyAlignment="1">
      <alignment vertical="center"/>
      <protection/>
    </xf>
    <xf numFmtId="0" fontId="21" fillId="0" borderId="28" xfId="81" applyFont="1" applyBorder="1" applyAlignment="1">
      <alignment vertical="center"/>
      <protection/>
    </xf>
    <xf numFmtId="0" fontId="9" fillId="45" borderId="0" xfId="81" applyFont="1" applyFill="1" applyBorder="1" applyAlignment="1">
      <alignment vertical="center"/>
      <protection/>
    </xf>
    <xf numFmtId="0" fontId="3" fillId="46" borderId="4" xfId="81" applyFont="1" applyFill="1" applyBorder="1" applyAlignment="1">
      <alignment vertical="center"/>
      <protection/>
    </xf>
    <xf numFmtId="0" fontId="9" fillId="0" borderId="0" xfId="81" applyFont="1" applyFill="1" applyBorder="1" applyAlignment="1">
      <alignment vertical="center" wrapText="1"/>
      <protection/>
    </xf>
    <xf numFmtId="0" fontId="91" fillId="0" borderId="16" xfId="0" applyFont="1" applyFill="1" applyBorder="1" applyAlignment="1">
      <alignment vertical="center"/>
    </xf>
    <xf numFmtId="0" fontId="9" fillId="45" borderId="21" xfId="81" applyFont="1" applyFill="1" applyBorder="1" applyAlignment="1">
      <alignment vertical="center"/>
      <protection/>
    </xf>
    <xf numFmtId="0" fontId="9" fillId="45" borderId="16" xfId="81" applyFont="1" applyFill="1" applyBorder="1" applyAlignment="1">
      <alignment vertical="center"/>
      <protection/>
    </xf>
    <xf numFmtId="0" fontId="9" fillId="0" borderId="16" xfId="81" applyFont="1" applyBorder="1" applyAlignment="1">
      <alignment horizontal="left" vertical="center"/>
      <protection/>
    </xf>
    <xf numFmtId="0" fontId="3" fillId="43" borderId="4" xfId="8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1" fontId="92" fillId="44" borderId="1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1" fillId="0" borderId="0" xfId="81" applyFont="1" applyFill="1" applyBorder="1" applyAlignment="1">
      <alignment horizontal="center" vertical="center"/>
      <protection/>
    </xf>
    <xf numFmtId="0" fontId="9" fillId="45" borderId="18" xfId="81" applyFont="1" applyFill="1" applyBorder="1" applyAlignment="1">
      <alignment vertical="center"/>
      <protection/>
    </xf>
    <xf numFmtId="0" fontId="23" fillId="0" borderId="0" xfId="0" applyFont="1" applyBorder="1" applyAlignment="1">
      <alignment horizontal="left" vertical="center" wrapText="1"/>
    </xf>
    <xf numFmtId="2" fontId="4" fillId="43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/>
    </xf>
    <xf numFmtId="0" fontId="9" fillId="43" borderId="4" xfId="81" applyFont="1" applyFill="1" applyBorder="1" applyAlignment="1">
      <alignment vertical="center" wrapText="1"/>
      <protection/>
    </xf>
    <xf numFmtId="0" fontId="9" fillId="0" borderId="0" xfId="81" applyFont="1" applyFill="1" applyBorder="1" applyAlignment="1">
      <alignment horizontal="left" vertical="center" wrapText="1"/>
      <protection/>
    </xf>
    <xf numFmtId="0" fontId="11" fillId="0" borderId="30" xfId="81" applyFont="1" applyBorder="1" applyAlignment="1">
      <alignment horizontal="center" vertical="center"/>
      <protection/>
    </xf>
    <xf numFmtId="172" fontId="9" fillId="0" borderId="18" xfId="81" applyNumberFormat="1" applyFont="1" applyBorder="1" applyAlignment="1">
      <alignment horizontal="center" vertical="center"/>
      <protection/>
    </xf>
    <xf numFmtId="172" fontId="91" fillId="0" borderId="27" xfId="0" applyNumberFormat="1" applyFont="1" applyFill="1" applyBorder="1" applyAlignment="1">
      <alignment horizontal="center"/>
    </xf>
    <xf numFmtId="172" fontId="91" fillId="0" borderId="27" xfId="0" applyNumberFormat="1" applyFont="1" applyBorder="1" applyAlignment="1">
      <alignment horizontal="center"/>
    </xf>
    <xf numFmtId="172" fontId="9" fillId="0" borderId="16" xfId="81" applyNumberFormat="1" applyFont="1" applyBorder="1" applyAlignment="1">
      <alignment horizontal="center" vertical="center"/>
      <protection/>
    </xf>
    <xf numFmtId="0" fontId="5" fillId="43" borderId="24" xfId="0" applyFont="1" applyFill="1" applyBorder="1" applyAlignment="1">
      <alignment vertical="center" wrapText="1"/>
    </xf>
    <xf numFmtId="0" fontId="5" fillId="43" borderId="20" xfId="0" applyFont="1" applyFill="1" applyBorder="1" applyAlignment="1">
      <alignment horizontal="center" vertical="center" wrapText="1"/>
    </xf>
    <xf numFmtId="1" fontId="11" fillId="0" borderId="16" xfId="81" applyNumberFormat="1" applyFont="1" applyFill="1" applyBorder="1" applyAlignment="1">
      <alignment horizontal="center" vertical="center"/>
      <protection/>
    </xf>
    <xf numFmtId="1" fontId="11" fillId="43" borderId="4" xfId="81" applyNumberFormat="1" applyFont="1" applyFill="1" applyBorder="1" applyAlignment="1">
      <alignment horizontal="center" vertical="center"/>
      <protection/>
    </xf>
    <xf numFmtId="1" fontId="15" fillId="43" borderId="16" xfId="81" applyNumberFormat="1" applyFont="1" applyFill="1" applyBorder="1" applyAlignment="1">
      <alignment horizontal="center" vertical="center"/>
      <protection/>
    </xf>
    <xf numFmtId="1" fontId="11" fillId="0" borderId="4" xfId="81" applyNumberFormat="1" applyFont="1" applyFill="1" applyBorder="1" applyAlignment="1">
      <alignment horizontal="center" vertical="center" wrapText="1"/>
      <protection/>
    </xf>
    <xf numFmtId="1" fontId="11" fillId="0" borderId="21" xfId="81" applyNumberFormat="1" applyFont="1" applyFill="1" applyBorder="1" applyAlignment="1">
      <alignment horizontal="center" vertical="center"/>
      <protection/>
    </xf>
    <xf numFmtId="1" fontId="4" fillId="5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4" xfId="0" applyFont="1" applyBorder="1" applyAlignment="1">
      <alignment vertical="top" wrapText="1"/>
    </xf>
    <xf numFmtId="0" fontId="6" fillId="45" borderId="4" xfId="0" applyFont="1" applyFill="1" applyBorder="1" applyAlignment="1">
      <alignment/>
    </xf>
    <xf numFmtId="0" fontId="3" fillId="43" borderId="16" xfId="0" applyFont="1" applyFill="1" applyBorder="1" applyAlignment="1">
      <alignment vertical="center" wrapText="1"/>
    </xf>
    <xf numFmtId="0" fontId="99" fillId="0" borderId="16" xfId="0" applyFont="1" applyBorder="1" applyAlignment="1">
      <alignment vertical="center" wrapText="1"/>
    </xf>
    <xf numFmtId="0" fontId="6" fillId="0" borderId="4" xfId="0" applyFont="1" applyBorder="1" applyAlignment="1">
      <alignment/>
    </xf>
    <xf numFmtId="0" fontId="10" fillId="0" borderId="18" xfId="81" applyFont="1" applyFill="1" applyBorder="1" applyAlignment="1">
      <alignment/>
      <protection/>
    </xf>
    <xf numFmtId="0" fontId="10" fillId="0" borderId="16" xfId="81" applyFont="1" applyFill="1" applyBorder="1" applyAlignment="1">
      <alignment/>
      <protection/>
    </xf>
    <xf numFmtId="0" fontId="10" fillId="0" borderId="19" xfId="81" applyFont="1" applyBorder="1" applyAlignment="1">
      <alignment vertical="center"/>
      <protection/>
    </xf>
    <xf numFmtId="0" fontId="10" fillId="0" borderId="4" xfId="81" applyFont="1" applyFill="1" applyBorder="1" applyAlignment="1">
      <alignment/>
      <protection/>
    </xf>
    <xf numFmtId="0" fontId="10" fillId="0" borderId="4" xfId="81" applyFont="1" applyBorder="1" applyAlignment="1">
      <alignment/>
      <protection/>
    </xf>
    <xf numFmtId="0" fontId="10" fillId="0" borderId="4" xfId="81" applyFont="1" applyBorder="1" applyAlignment="1">
      <alignment vertical="center"/>
      <protection/>
    </xf>
    <xf numFmtId="0" fontId="10" fillId="0" borderId="4" xfId="81" applyFont="1" applyBorder="1" applyAlignment="1">
      <alignment wrapText="1"/>
      <protection/>
    </xf>
    <xf numFmtId="0" fontId="9" fillId="45" borderId="16" xfId="81" applyFont="1" applyFill="1" applyBorder="1" applyAlignment="1">
      <alignment/>
      <protection/>
    </xf>
    <xf numFmtId="0" fontId="10" fillId="43" borderId="4" xfId="81" applyFont="1" applyFill="1" applyBorder="1" applyAlignment="1">
      <alignment vertical="center" wrapText="1"/>
      <protection/>
    </xf>
    <xf numFmtId="0" fontId="10" fillId="43" borderId="4" xfId="81" applyFont="1" applyFill="1" applyBorder="1" applyAlignment="1">
      <alignment/>
      <protection/>
    </xf>
    <xf numFmtId="0" fontId="10" fillId="45" borderId="4" xfId="81" applyFont="1" applyFill="1" applyBorder="1" applyAlignment="1">
      <alignment/>
      <protection/>
    </xf>
    <xf numFmtId="0" fontId="9" fillId="0" borderId="16" xfId="81" applyFont="1" applyFill="1" applyBorder="1" applyAlignment="1">
      <alignment/>
      <protection/>
    </xf>
    <xf numFmtId="0" fontId="99" fillId="0" borderId="24" xfId="0" applyFont="1" applyFill="1" applyBorder="1" applyAlignment="1">
      <alignment vertical="center" wrapText="1"/>
    </xf>
    <xf numFmtId="0" fontId="99" fillId="0" borderId="16" xfId="0" applyFont="1" applyFill="1" applyBorder="1" applyAlignment="1">
      <alignment vertical="center" wrapText="1"/>
    </xf>
    <xf numFmtId="0" fontId="4" fillId="43" borderId="16" xfId="0" applyFont="1" applyFill="1" applyBorder="1" applyAlignment="1">
      <alignment vertical="center" wrapText="1"/>
    </xf>
    <xf numFmtId="0" fontId="9" fillId="0" borderId="4" xfId="81" applyFont="1" applyFill="1" applyBorder="1" applyAlignment="1">
      <alignment/>
      <protection/>
    </xf>
    <xf numFmtId="0" fontId="10" fillId="46" borderId="4" xfId="72" applyFont="1" applyFill="1" applyBorder="1" applyAlignment="1">
      <alignment vertical="center"/>
      <protection/>
    </xf>
    <xf numFmtId="0" fontId="14" fillId="0" borderId="16" xfId="0" applyFont="1" applyBorder="1" applyAlignment="1">
      <alignment vertical="center" wrapText="1"/>
    </xf>
    <xf numFmtId="49" fontId="10" fillId="0" borderId="4" xfId="81" applyNumberFormat="1" applyFont="1" applyFill="1" applyBorder="1" applyAlignment="1">
      <alignment wrapText="1"/>
      <protection/>
    </xf>
    <xf numFmtId="0" fontId="10" fillId="0" borderId="4" xfId="81" applyFont="1" applyBorder="1" applyAlignment="1">
      <alignment vertical="center" wrapText="1"/>
      <protection/>
    </xf>
    <xf numFmtId="0" fontId="6" fillId="45" borderId="4" xfId="0" applyFont="1" applyFill="1" applyBorder="1" applyAlignment="1">
      <alignment vertical="top" wrapText="1"/>
    </xf>
    <xf numFmtId="0" fontId="99" fillId="43" borderId="16" xfId="0" applyFont="1" applyFill="1" applyBorder="1" applyAlignment="1">
      <alignment vertical="center" wrapText="1"/>
    </xf>
    <xf numFmtId="0" fontId="6" fillId="43" borderId="4" xfId="0" applyFont="1" applyFill="1" applyBorder="1" applyAlignment="1">
      <alignment vertical="top" wrapText="1"/>
    </xf>
    <xf numFmtId="0" fontId="10" fillId="43" borderId="19" xfId="81" applyFont="1" applyFill="1" applyBorder="1" applyAlignment="1">
      <alignment vertical="center" wrapText="1"/>
      <protection/>
    </xf>
    <xf numFmtId="0" fontId="10" fillId="46" borderId="4" xfId="81" applyFont="1" applyFill="1" applyBorder="1" applyAlignment="1">
      <alignment/>
      <protection/>
    </xf>
    <xf numFmtId="0" fontId="6" fillId="45" borderId="18" xfId="0" applyFont="1" applyFill="1" applyBorder="1" applyAlignment="1">
      <alignment/>
    </xf>
    <xf numFmtId="0" fontId="6" fillId="45" borderId="16" xfId="0" applyFont="1" applyFill="1" applyBorder="1" applyAlignment="1">
      <alignment/>
    </xf>
    <xf numFmtId="0" fontId="3" fillId="0" borderId="4" xfId="0" applyFont="1" applyBorder="1" applyAlignment="1">
      <alignment vertical="top" wrapText="1"/>
    </xf>
    <xf numFmtId="0" fontId="10" fillId="0" borderId="16" xfId="81" applyFont="1" applyBorder="1" applyAlignment="1">
      <alignment/>
      <protection/>
    </xf>
    <xf numFmtId="0" fontId="99" fillId="0" borderId="17" xfId="0" applyFont="1" applyBorder="1" applyAlignment="1">
      <alignment vertical="center" wrapText="1"/>
    </xf>
    <xf numFmtId="0" fontId="6" fillId="0" borderId="21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91" fillId="0" borderId="16" xfId="0" applyFont="1" applyBorder="1" applyAlignment="1">
      <alignment vertical="center" wrapText="1"/>
    </xf>
    <xf numFmtId="0" fontId="9" fillId="0" borderId="16" xfId="81" applyFont="1" applyBorder="1" applyAlignment="1">
      <alignment/>
      <protection/>
    </xf>
    <xf numFmtId="0" fontId="6" fillId="45" borderId="0" xfId="0" applyFont="1" applyFill="1" applyBorder="1" applyAlignment="1">
      <alignment vertical="top" wrapText="1"/>
    </xf>
    <xf numFmtId="0" fontId="6" fillId="46" borderId="4" xfId="0" applyFont="1" applyFill="1" applyBorder="1" applyAlignment="1">
      <alignment vertical="top" wrapText="1"/>
    </xf>
    <xf numFmtId="0" fontId="3" fillId="0" borderId="16" xfId="0" applyFont="1" applyBorder="1" applyAlignment="1">
      <alignment/>
    </xf>
    <xf numFmtId="0" fontId="3" fillId="0" borderId="0" xfId="0" applyFont="1" applyAlignment="1">
      <alignment vertical="center" wrapText="1"/>
    </xf>
    <xf numFmtId="172" fontId="92" fillId="44" borderId="16" xfId="0" applyNumberFormat="1" applyFont="1" applyFill="1" applyBorder="1" applyAlignment="1">
      <alignment horizontal="center" vertical="center"/>
    </xf>
    <xf numFmtId="0" fontId="10" fillId="0" borderId="28" xfId="81" applyFont="1" applyBorder="1" applyAlignment="1">
      <alignment/>
      <protection/>
    </xf>
    <xf numFmtId="0" fontId="9" fillId="43" borderId="4" xfId="81" applyFont="1" applyFill="1" applyBorder="1" applyAlignment="1">
      <alignment horizontal="left" vertical="center"/>
      <protection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0" fillId="0" borderId="18" xfId="81" applyFont="1" applyBorder="1" applyAlignment="1">
      <alignment/>
      <protection/>
    </xf>
    <xf numFmtId="172" fontId="0" fillId="0" borderId="0" xfId="0" applyNumberFormat="1" applyAlignment="1">
      <alignment/>
    </xf>
    <xf numFmtId="0" fontId="6" fillId="45" borderId="18" xfId="0" applyFont="1" applyFill="1" applyBorder="1" applyAlignment="1">
      <alignment vertical="top" wrapText="1"/>
    </xf>
    <xf numFmtId="0" fontId="6" fillId="45" borderId="16" xfId="0" applyFont="1" applyFill="1" applyBorder="1" applyAlignment="1">
      <alignment vertical="top" wrapText="1"/>
    </xf>
    <xf numFmtId="0" fontId="5" fillId="43" borderId="16" xfId="0" applyFont="1" applyFill="1" applyBorder="1" applyAlignment="1">
      <alignment vertical="center" wrapText="1"/>
    </xf>
    <xf numFmtId="0" fontId="9" fillId="0" borderId="19" xfId="81" applyFont="1" applyFill="1" applyBorder="1" applyAlignment="1">
      <alignment vertical="center"/>
      <protection/>
    </xf>
    <xf numFmtId="0" fontId="11" fillId="0" borderId="19" xfId="81" applyFont="1" applyFill="1" applyBorder="1" applyAlignment="1">
      <alignment horizontal="center" vertical="center" wrapText="1"/>
      <protection/>
    </xf>
    <xf numFmtId="172" fontId="9" fillId="0" borderId="19" xfId="81" applyNumberFormat="1" applyFont="1" applyFill="1" applyBorder="1" applyAlignment="1">
      <alignment horizontal="center" wrapText="1"/>
      <protection/>
    </xf>
    <xf numFmtId="1" fontId="11" fillId="0" borderId="19" xfId="81" applyNumberFormat="1" applyFont="1" applyFill="1" applyBorder="1" applyAlignment="1">
      <alignment horizontal="center" vertical="center" wrapText="1"/>
      <protection/>
    </xf>
    <xf numFmtId="49" fontId="10" fillId="0" borderId="19" xfId="81" applyNumberFormat="1" applyFont="1" applyFill="1" applyBorder="1" applyAlignment="1">
      <alignment wrapText="1"/>
      <protection/>
    </xf>
    <xf numFmtId="0" fontId="6" fillId="46" borderId="4" xfId="0" applyFont="1" applyFill="1" applyBorder="1" applyAlignment="1">
      <alignment vertical="center" wrapText="1"/>
    </xf>
    <xf numFmtId="0" fontId="0" fillId="43" borderId="0" xfId="0" applyFill="1" applyAlignment="1">
      <alignment/>
    </xf>
    <xf numFmtId="1" fontId="3" fillId="0" borderId="16" xfId="0" applyNumberFormat="1" applyFont="1" applyBorder="1" applyAlignment="1">
      <alignment horizontal="center" vertical="center" wrapText="1"/>
    </xf>
    <xf numFmtId="172" fontId="4" fillId="43" borderId="16" xfId="0" applyNumberFormat="1" applyFont="1" applyFill="1" applyBorder="1" applyAlignment="1">
      <alignment horizontal="center" vertical="center" wrapText="1"/>
    </xf>
    <xf numFmtId="172" fontId="9" fillId="46" borderId="4" xfId="0" applyNumberFormat="1" applyFont="1" applyFill="1" applyBorder="1" applyAlignment="1">
      <alignment horizontal="center" vertical="center" wrapText="1"/>
    </xf>
    <xf numFmtId="0" fontId="6" fillId="46" borderId="4" xfId="0" applyFont="1" applyFill="1" applyBorder="1" applyAlignment="1">
      <alignment/>
    </xf>
    <xf numFmtId="0" fontId="3" fillId="43" borderId="0" xfId="0" applyFont="1" applyFill="1" applyAlignment="1">
      <alignment horizontal="center" vertical="center"/>
    </xf>
    <xf numFmtId="0" fontId="3" fillId="43" borderId="0" xfId="0" applyFont="1" applyFill="1" applyAlignment="1">
      <alignment horizontal="center" vertical="center" wrapText="1"/>
    </xf>
    <xf numFmtId="0" fontId="42" fillId="43" borderId="16" xfId="0" applyFont="1" applyFill="1" applyBorder="1" applyAlignment="1">
      <alignment horizontal="center" vertical="center" wrapText="1"/>
    </xf>
    <xf numFmtId="0" fontId="96" fillId="43" borderId="16" xfId="0" applyFont="1" applyFill="1" applyBorder="1" applyAlignment="1">
      <alignment horizontal="left" vertical="center" indent="4"/>
    </xf>
    <xf numFmtId="0" fontId="98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0" fillId="0" borderId="17" xfId="0" applyFont="1" applyBorder="1" applyAlignment="1">
      <alignment horizontal="center" vertical="center"/>
    </xf>
    <xf numFmtId="0" fontId="100" fillId="0" borderId="27" xfId="0" applyFont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98" fillId="0" borderId="27" xfId="0" applyFont="1" applyBorder="1" applyAlignment="1">
      <alignment/>
    </xf>
    <xf numFmtId="1" fontId="13" fillId="48" borderId="16" xfId="0" applyNumberFormat="1" applyFont="1" applyFill="1" applyBorder="1" applyAlignment="1">
      <alignment horizontal="center" vertical="center"/>
    </xf>
    <xf numFmtId="1" fontId="98" fillId="0" borderId="16" xfId="0" applyNumberFormat="1" applyFont="1" applyFill="1" applyBorder="1" applyAlignment="1">
      <alignment horizontal="center" vertical="center"/>
    </xf>
    <xf numFmtId="0" fontId="98" fillId="0" borderId="16" xfId="0" applyFont="1" applyBorder="1" applyAlignment="1">
      <alignment/>
    </xf>
    <xf numFmtId="0" fontId="101" fillId="0" borderId="16" xfId="0" applyFont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102" fillId="0" borderId="16" xfId="0" applyFont="1" applyFill="1" applyBorder="1" applyAlignment="1">
      <alignment horizontal="center" vertical="center"/>
    </xf>
    <xf numFmtId="1" fontId="101" fillId="43" borderId="16" xfId="0" applyNumberFormat="1" applyFont="1" applyFill="1" applyBorder="1" applyAlignment="1">
      <alignment horizontal="center" vertical="center"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 horizontal="center" vertical="center"/>
    </xf>
    <xf numFmtId="0" fontId="103" fillId="0" borderId="0" xfId="0" applyFont="1" applyFill="1" applyBorder="1" applyAlignment="1">
      <alignment vertical="center"/>
    </xf>
    <xf numFmtId="0" fontId="103" fillId="0" borderId="0" xfId="0" applyFont="1" applyFill="1" applyAlignment="1">
      <alignment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 vertical="center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4" fillId="0" borderId="0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100" fillId="0" borderId="16" xfId="0" applyFont="1" applyBorder="1" applyAlignment="1">
      <alignment horizontal="center" vertical="distributed"/>
    </xf>
    <xf numFmtId="0" fontId="13" fillId="0" borderId="16" xfId="0" applyFont="1" applyFill="1" applyBorder="1" applyAlignment="1">
      <alignment horizontal="center" vertical="center"/>
    </xf>
    <xf numFmtId="1" fontId="98" fillId="48" borderId="16" xfId="0" applyNumberFormat="1" applyFont="1" applyFill="1" applyBorder="1" applyAlignment="1">
      <alignment horizontal="center" vertical="center"/>
    </xf>
    <xf numFmtId="1" fontId="98" fillId="43" borderId="16" xfId="0" applyNumberFormat="1" applyFont="1" applyFill="1" applyBorder="1" applyAlignment="1">
      <alignment horizontal="center" vertical="center"/>
    </xf>
    <xf numFmtId="1" fontId="101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8" fillId="0" borderId="16" xfId="0" applyFont="1" applyBorder="1" applyAlignment="1">
      <alignment horizontal="left" vertical="center"/>
    </xf>
    <xf numFmtId="1" fontId="98" fillId="0" borderId="1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top" wrapText="1"/>
    </xf>
    <xf numFmtId="0" fontId="3" fillId="43" borderId="27" xfId="0" applyFont="1" applyFill="1" applyBorder="1" applyAlignment="1">
      <alignment horizontal="left" vertical="center" wrapText="1"/>
    </xf>
    <xf numFmtId="0" fontId="11" fillId="0" borderId="19" xfId="81" applyFont="1" applyFill="1" applyBorder="1" applyAlignment="1">
      <alignment horizontal="center"/>
      <protection/>
    </xf>
    <xf numFmtId="16" fontId="5" fillId="43" borderId="16" xfId="0" applyNumberFormat="1" applyFont="1" applyFill="1" applyBorder="1" applyAlignment="1">
      <alignment horizontal="left" vertical="center" wrapText="1"/>
    </xf>
    <xf numFmtId="0" fontId="9" fillId="46" borderId="4" xfId="81" applyFont="1" applyFill="1" applyBorder="1" applyAlignment="1">
      <alignment horizontal="left" vertical="center"/>
      <protection/>
    </xf>
    <xf numFmtId="1" fontId="11" fillId="0" borderId="4" xfId="81" applyNumberFormat="1" applyFont="1" applyBorder="1" applyAlignment="1">
      <alignment horizontal="center"/>
      <protection/>
    </xf>
    <xf numFmtId="0" fontId="3" fillId="43" borderId="0" xfId="0" applyFont="1" applyFill="1" applyAlignment="1">
      <alignment horizontal="left" vertical="center" wrapText="1"/>
    </xf>
    <xf numFmtId="1" fontId="11" fillId="45" borderId="4" xfId="81" applyNumberFormat="1" applyFont="1" applyFill="1" applyBorder="1" applyAlignment="1">
      <alignment horizontal="center"/>
      <protection/>
    </xf>
    <xf numFmtId="0" fontId="9" fillId="46" borderId="18" xfId="81" applyFont="1" applyFill="1" applyBorder="1" applyAlignment="1">
      <alignment vertical="center" wrapText="1"/>
      <protection/>
    </xf>
    <xf numFmtId="172" fontId="9" fillId="43" borderId="18" xfId="81" applyNumberFormat="1" applyFont="1" applyFill="1" applyBorder="1" applyAlignment="1">
      <alignment horizontal="center" vertical="center"/>
      <protection/>
    </xf>
    <xf numFmtId="1" fontId="11" fillId="43" borderId="18" xfId="81" applyNumberFormat="1" applyFont="1" applyFill="1" applyBorder="1" applyAlignment="1">
      <alignment horizontal="center" vertical="center"/>
      <protection/>
    </xf>
    <xf numFmtId="0" fontId="9" fillId="46" borderId="16" xfId="81" applyFont="1" applyFill="1" applyBorder="1" applyAlignment="1">
      <alignment vertical="center" wrapText="1"/>
      <protection/>
    </xf>
    <xf numFmtId="172" fontId="9" fillId="43" borderId="16" xfId="81" applyNumberFormat="1" applyFont="1" applyFill="1" applyBorder="1" applyAlignment="1">
      <alignment horizontal="center" vertical="center"/>
      <protection/>
    </xf>
    <xf numFmtId="1" fontId="11" fillId="43" borderId="16" xfId="81" applyNumberFormat="1" applyFont="1" applyFill="1" applyBorder="1" applyAlignment="1">
      <alignment horizontal="center" vertical="center"/>
      <protection/>
    </xf>
    <xf numFmtId="0" fontId="9" fillId="0" borderId="19" xfId="81" applyFont="1" applyFill="1" applyBorder="1" applyAlignment="1">
      <alignment vertical="center" wrapText="1"/>
      <protection/>
    </xf>
    <xf numFmtId="1" fontId="23" fillId="0" borderId="0" xfId="0" applyNumberFormat="1" applyFont="1" applyBorder="1" applyAlignment="1">
      <alignment horizontal="left" vertical="center" wrapText="1"/>
    </xf>
    <xf numFmtId="1" fontId="4" fillId="0" borderId="19" xfId="81" applyNumberFormat="1" applyFont="1" applyFill="1" applyBorder="1" applyAlignment="1">
      <alignment horizontal="center" vertical="center"/>
      <protection/>
    </xf>
    <xf numFmtId="1" fontId="11" fillId="0" borderId="19" xfId="81" applyNumberFormat="1" applyFont="1" applyBorder="1" applyAlignment="1">
      <alignment horizontal="center"/>
      <protection/>
    </xf>
    <xf numFmtId="1" fontId="11" fillId="45" borderId="16" xfId="81" applyNumberFormat="1" applyFont="1" applyFill="1" applyBorder="1" applyAlignment="1">
      <alignment horizontal="center"/>
      <protection/>
    </xf>
    <xf numFmtId="1" fontId="11" fillId="43" borderId="4" xfId="81" applyNumberFormat="1" applyFont="1" applyFill="1" applyBorder="1" applyAlignment="1">
      <alignment horizontal="center"/>
      <protection/>
    </xf>
    <xf numFmtId="1" fontId="11" fillId="0" borderId="16" xfId="81" applyNumberFormat="1" applyFont="1" applyFill="1" applyBorder="1" applyAlignment="1">
      <alignment horizontal="center"/>
      <protection/>
    </xf>
    <xf numFmtId="1" fontId="11" fillId="43" borderId="4" xfId="72" applyNumberFormat="1" applyFont="1" applyFill="1" applyBorder="1" applyAlignment="1">
      <alignment horizontal="center" vertical="center"/>
      <protection/>
    </xf>
    <xf numFmtId="1" fontId="4" fillId="0" borderId="4" xfId="81" applyNumberFormat="1" applyFont="1" applyFill="1" applyBorder="1" applyAlignment="1">
      <alignment horizontal="center" vertical="center"/>
      <protection/>
    </xf>
    <xf numFmtId="1" fontId="11" fillId="46" borderId="4" xfId="81" applyNumberFormat="1" applyFont="1" applyFill="1" applyBorder="1" applyAlignment="1">
      <alignment horizontal="center"/>
      <protection/>
    </xf>
    <xf numFmtId="1" fontId="4" fillId="0" borderId="17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/>
    </xf>
    <xf numFmtId="1" fontId="11" fillId="0" borderId="0" xfId="81" applyNumberFormat="1" applyFont="1" applyFill="1" applyBorder="1" applyAlignment="1">
      <alignment horizontal="center" vertical="center"/>
      <protection/>
    </xf>
    <xf numFmtId="1" fontId="15" fillId="0" borderId="16" xfId="0" applyNumberFormat="1" applyFont="1" applyBorder="1" applyAlignment="1">
      <alignment vertical="center"/>
    </xf>
    <xf numFmtId="1" fontId="18" fillId="0" borderId="0" xfId="0" applyNumberFormat="1" applyFont="1" applyAlignment="1">
      <alignment/>
    </xf>
    <xf numFmtId="1" fontId="46" fillId="0" borderId="0" xfId="0" applyNumberFormat="1" applyFont="1" applyAlignment="1">
      <alignment vertical="center" wrapText="1"/>
    </xf>
    <xf numFmtId="0" fontId="9" fillId="45" borderId="0" xfId="81" applyFont="1" applyFill="1" applyBorder="1" applyAlignment="1">
      <alignment vertical="center" wrapText="1"/>
      <protection/>
    </xf>
    <xf numFmtId="0" fontId="10" fillId="0" borderId="0" xfId="81" applyFont="1" applyBorder="1" applyAlignment="1">
      <alignment/>
      <protection/>
    </xf>
    <xf numFmtId="0" fontId="3" fillId="0" borderId="20" xfId="81" applyFont="1" applyBorder="1" applyAlignment="1">
      <alignment vertical="center"/>
      <protection/>
    </xf>
    <xf numFmtId="0" fontId="10" fillId="0" borderId="24" xfId="81" applyFont="1" applyFill="1" applyBorder="1" applyAlignment="1">
      <alignment/>
      <protection/>
    </xf>
    <xf numFmtId="0" fontId="11" fillId="0" borderId="18" xfId="81" applyFont="1" applyBorder="1" applyAlignment="1">
      <alignment horizontal="center" vertical="center"/>
      <protection/>
    </xf>
    <xf numFmtId="0" fontId="11" fillId="0" borderId="16" xfId="81" applyFont="1" applyBorder="1" applyAlignment="1">
      <alignment horizontal="center" vertical="center"/>
      <protection/>
    </xf>
    <xf numFmtId="172" fontId="99" fillId="0" borderId="0" xfId="0" applyNumberFormat="1" applyFont="1" applyBorder="1" applyAlignment="1">
      <alignment vertical="center"/>
    </xf>
    <xf numFmtId="1" fontId="42" fillId="0" borderId="16" xfId="0" applyNumberFormat="1" applyFont="1" applyFill="1" applyBorder="1" applyAlignment="1">
      <alignment horizontal="center" vertical="center" wrapText="1"/>
    </xf>
    <xf numFmtId="1" fontId="42" fillId="43" borderId="16" xfId="0" applyNumberFormat="1" applyFont="1" applyFill="1" applyBorder="1" applyAlignment="1">
      <alignment horizontal="center" vertical="center" wrapText="1"/>
    </xf>
    <xf numFmtId="1" fontId="13" fillId="43" borderId="16" xfId="0" applyNumberFormat="1" applyFont="1" applyFill="1" applyBorder="1" applyAlignment="1">
      <alignment horizontal="center" vertical="center"/>
    </xf>
    <xf numFmtId="1" fontId="43" fillId="43" borderId="0" xfId="0" applyNumberFormat="1" applyFont="1" applyFill="1" applyAlignment="1">
      <alignment/>
    </xf>
    <xf numFmtId="0" fontId="31" fillId="0" borderId="4" xfId="81" applyFont="1" applyFill="1" applyBorder="1" applyAlignment="1">
      <alignment horizontal="center"/>
      <protection/>
    </xf>
    <xf numFmtId="0" fontId="3" fillId="51" borderId="4" xfId="81" applyFont="1" applyFill="1" applyBorder="1" applyAlignment="1">
      <alignment horizontal="left" vertical="center"/>
      <protection/>
    </xf>
    <xf numFmtId="0" fontId="9" fillId="43" borderId="19" xfId="81" applyFont="1" applyFill="1" applyBorder="1" applyAlignment="1">
      <alignment horizontal="left" vertical="center"/>
      <protection/>
    </xf>
    <xf numFmtId="0" fontId="3" fillId="43" borderId="4" xfId="81" applyFont="1" applyFill="1" applyBorder="1" applyAlignment="1">
      <alignment horizontal="left" vertical="center"/>
      <protection/>
    </xf>
    <xf numFmtId="0" fontId="3" fillId="43" borderId="27" xfId="0" applyFont="1" applyFill="1" applyBorder="1" applyAlignment="1">
      <alignment horizontal="center" vertical="center" wrapText="1"/>
    </xf>
    <xf numFmtId="0" fontId="21" fillId="43" borderId="28" xfId="81" applyFont="1" applyFill="1" applyBorder="1" applyAlignment="1">
      <alignment vertical="center"/>
      <protection/>
    </xf>
    <xf numFmtId="49" fontId="22" fillId="43" borderId="4" xfId="81" applyNumberFormat="1" applyFont="1" applyFill="1" applyBorder="1" applyAlignment="1">
      <alignment horizontal="center"/>
      <protection/>
    </xf>
    <xf numFmtId="0" fontId="91" fillId="43" borderId="16" xfId="0" applyFont="1" applyFill="1" applyBorder="1" applyAlignment="1">
      <alignment vertical="center"/>
    </xf>
    <xf numFmtId="2" fontId="5" fillId="0" borderId="16" xfId="0" applyNumberFormat="1" applyFont="1" applyBorder="1" applyAlignment="1">
      <alignment vertical="center" wrapText="1"/>
    </xf>
    <xf numFmtId="49" fontId="11" fillId="0" borderId="4" xfId="81" applyNumberFormat="1" applyFont="1" applyFill="1" applyBorder="1" applyAlignment="1">
      <alignment horizontal="center"/>
      <protection/>
    </xf>
    <xf numFmtId="49" fontId="11" fillId="0" borderId="4" xfId="81" applyNumberFormat="1" applyFont="1" applyBorder="1" applyAlignment="1">
      <alignment horizontal="center"/>
      <protection/>
    </xf>
    <xf numFmtId="0" fontId="3" fillId="43" borderId="16" xfId="81" applyFont="1" applyFill="1" applyBorder="1" applyAlignment="1">
      <alignment vertical="center"/>
      <protection/>
    </xf>
    <xf numFmtId="172" fontId="13" fillId="43" borderId="16" xfId="0" applyNumberFormat="1" applyFont="1" applyFill="1" applyBorder="1" applyAlignment="1">
      <alignment horizontal="center" vertical="center"/>
    </xf>
    <xf numFmtId="172" fontId="14" fillId="0" borderId="27" xfId="0" applyNumberFormat="1" applyFont="1" applyFill="1" applyBorder="1" applyAlignment="1">
      <alignment horizontal="center"/>
    </xf>
    <xf numFmtId="172" fontId="14" fillId="43" borderId="27" xfId="0" applyNumberFormat="1" applyFont="1" applyFill="1" applyBorder="1" applyAlignment="1">
      <alignment horizontal="center"/>
    </xf>
    <xf numFmtId="172" fontId="14" fillId="0" borderId="16" xfId="0" applyNumberFormat="1" applyFont="1" applyFill="1" applyBorder="1" applyAlignment="1">
      <alignment horizontal="center"/>
    </xf>
    <xf numFmtId="172" fontId="14" fillId="43" borderId="16" xfId="0" applyNumberFormat="1" applyFont="1" applyFill="1" applyBorder="1" applyAlignment="1">
      <alignment horizontal="center"/>
    </xf>
    <xf numFmtId="0" fontId="13" fillId="43" borderId="0" xfId="0" applyFont="1" applyFill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11" fillId="0" borderId="4" xfId="81" applyNumberFormat="1" applyFont="1" applyFill="1" applyBorder="1" applyAlignment="1">
      <alignment horizontal="center" vertical="center"/>
      <protection/>
    </xf>
    <xf numFmtId="49" fontId="11" fillId="0" borderId="4" xfId="81" applyNumberFormat="1" applyFont="1" applyBorder="1" applyAlignment="1">
      <alignment horizontal="center" vertical="center"/>
      <protection/>
    </xf>
    <xf numFmtId="172" fontId="9" fillId="43" borderId="4" xfId="0" applyNumberFormat="1" applyFont="1" applyFill="1" applyBorder="1" applyAlignment="1">
      <alignment horizontal="center"/>
    </xf>
    <xf numFmtId="49" fontId="11" fillId="43" borderId="4" xfId="81" applyNumberFormat="1" applyFont="1" applyFill="1" applyBorder="1" applyAlignment="1">
      <alignment horizontal="center"/>
      <protection/>
    </xf>
    <xf numFmtId="49" fontId="11" fillId="45" borderId="4" xfId="81" applyNumberFormat="1" applyFont="1" applyFill="1" applyBorder="1" applyAlignment="1">
      <alignment horizontal="center"/>
      <protection/>
    </xf>
    <xf numFmtId="0" fontId="9" fillId="43" borderId="16" xfId="81" applyFont="1" applyFill="1" applyBorder="1" applyAlignment="1">
      <alignment vertical="center"/>
      <protection/>
    </xf>
    <xf numFmtId="49" fontId="11" fillId="43" borderId="16" xfId="81" applyNumberFormat="1" applyFont="1" applyFill="1" applyBorder="1" applyAlignment="1">
      <alignment horizontal="center"/>
      <protection/>
    </xf>
    <xf numFmtId="1" fontId="11" fillId="43" borderId="16" xfId="81" applyNumberFormat="1" applyFont="1" applyFill="1" applyBorder="1" applyAlignment="1">
      <alignment horizontal="center"/>
      <protection/>
    </xf>
    <xf numFmtId="49" fontId="11" fillId="0" borderId="4" xfId="0" applyNumberFormat="1" applyFont="1" applyBorder="1" applyAlignment="1">
      <alignment horizontal="center" vertical="center"/>
    </xf>
    <xf numFmtId="49" fontId="11" fillId="43" borderId="4" xfId="81" applyNumberFormat="1" applyFont="1" applyFill="1" applyBorder="1" applyAlignment="1">
      <alignment horizontal="center" vertical="center"/>
      <protection/>
    </xf>
    <xf numFmtId="49" fontId="4" fillId="44" borderId="16" xfId="0" applyNumberFormat="1" applyFont="1" applyFill="1" applyBorder="1" applyAlignment="1">
      <alignment horizontal="center" vertical="center" wrapText="1"/>
    </xf>
    <xf numFmtId="49" fontId="4" fillId="43" borderId="16" xfId="0" applyNumberFormat="1" applyFont="1" applyFill="1" applyBorder="1" applyAlignment="1">
      <alignment horizontal="center" vertical="center" wrapText="1"/>
    </xf>
    <xf numFmtId="49" fontId="22" fillId="0" borderId="4" xfId="81" applyNumberFormat="1" applyFont="1" applyBorder="1" applyAlignment="1">
      <alignment horizontal="center"/>
      <protection/>
    </xf>
    <xf numFmtId="49" fontId="11" fillId="0" borderId="4" xfId="81" applyNumberFormat="1" applyFont="1" applyBorder="1" applyAlignment="1">
      <alignment horizontal="center" wrapText="1"/>
      <protection/>
    </xf>
    <xf numFmtId="49" fontId="4" fillId="0" borderId="16" xfId="0" applyNumberFormat="1" applyFont="1" applyBorder="1" applyAlignment="1">
      <alignment horizontal="center" vertical="center" wrapText="1"/>
    </xf>
    <xf numFmtId="49" fontId="11" fillId="0" borderId="4" xfId="81" applyNumberFormat="1" applyFont="1" applyFill="1" applyBorder="1" applyAlignment="1">
      <alignment horizontal="center" vertical="center" wrapText="1"/>
      <protection/>
    </xf>
    <xf numFmtId="49" fontId="31" fillId="43" borderId="4" xfId="81" applyNumberFormat="1" applyFont="1" applyFill="1" applyBorder="1" applyAlignment="1">
      <alignment horizontal="center" vertical="center"/>
      <protection/>
    </xf>
    <xf numFmtId="0" fontId="9" fillId="43" borderId="0" xfId="81" applyFont="1" applyFill="1" applyBorder="1" applyAlignment="1">
      <alignment vertical="center"/>
      <protection/>
    </xf>
    <xf numFmtId="49" fontId="11" fillId="0" borderId="16" xfId="81" applyNumberFormat="1" applyFont="1" applyBorder="1" applyAlignment="1">
      <alignment horizontal="center"/>
      <protection/>
    </xf>
    <xf numFmtId="49" fontId="11" fillId="43" borderId="4" xfId="72" applyNumberFormat="1" applyFont="1" applyFill="1" applyBorder="1" applyAlignment="1">
      <alignment horizontal="center" vertical="center"/>
      <protection/>
    </xf>
    <xf numFmtId="49" fontId="11" fillId="45" borderId="19" xfId="0" applyNumberFormat="1" applyFont="1" applyFill="1" applyBorder="1" applyAlignment="1">
      <alignment horizontal="center" vertical="center"/>
    </xf>
    <xf numFmtId="49" fontId="11" fillId="43" borderId="30" xfId="81" applyNumberFormat="1" applyFont="1" applyFill="1" applyBorder="1" applyAlignment="1">
      <alignment horizontal="center" vertical="center"/>
      <protection/>
    </xf>
    <xf numFmtId="0" fontId="3" fillId="43" borderId="20" xfId="0" applyFont="1" applyFill="1" applyBorder="1" applyAlignment="1">
      <alignment horizontal="left" vertical="center"/>
    </xf>
    <xf numFmtId="49" fontId="11" fillId="46" borderId="4" xfId="81" applyNumberFormat="1" applyFont="1" applyFill="1" applyBorder="1" applyAlignment="1">
      <alignment horizontal="center"/>
      <protection/>
    </xf>
    <xf numFmtId="0" fontId="4" fillId="43" borderId="16" xfId="0" applyFont="1" applyFill="1" applyBorder="1" applyAlignment="1">
      <alignment horizontal="left" vertical="center" wrapText="1"/>
    </xf>
    <xf numFmtId="49" fontId="4" fillId="43" borderId="4" xfId="81" applyNumberFormat="1" applyFont="1" applyFill="1" applyBorder="1" applyAlignment="1">
      <alignment horizontal="center"/>
      <protection/>
    </xf>
    <xf numFmtId="1" fontId="4" fillId="0" borderId="18" xfId="81" applyNumberFormat="1" applyFont="1" applyFill="1" applyBorder="1" applyAlignment="1">
      <alignment horizontal="center" vertical="center"/>
      <protection/>
    </xf>
    <xf numFmtId="1" fontId="4" fillId="47" borderId="16" xfId="0" applyNumberFormat="1" applyFont="1" applyFill="1" applyBorder="1" applyAlignment="1">
      <alignment horizontal="center" vertical="center" wrapText="1"/>
    </xf>
    <xf numFmtId="1" fontId="4" fillId="0" borderId="16" xfId="81" applyNumberFormat="1" applyFont="1" applyFill="1" applyBorder="1" applyAlignment="1">
      <alignment horizontal="center" vertical="center"/>
      <protection/>
    </xf>
    <xf numFmtId="0" fontId="4" fillId="44" borderId="16" xfId="0" applyNumberFormat="1" applyFont="1" applyFill="1" applyBorder="1" applyAlignment="1">
      <alignment horizontal="center" vertical="center" wrapText="1"/>
    </xf>
    <xf numFmtId="0" fontId="11" fillId="0" borderId="4" xfId="81" applyNumberFormat="1" applyFont="1" applyBorder="1" applyAlignment="1">
      <alignment horizontal="center"/>
      <protection/>
    </xf>
    <xf numFmtId="0" fontId="3" fillId="0" borderId="17" xfId="81" applyFont="1" applyBorder="1" applyAlignment="1">
      <alignment vertical="center"/>
      <protection/>
    </xf>
    <xf numFmtId="172" fontId="91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vertical="top" wrapText="1"/>
    </xf>
    <xf numFmtId="0" fontId="11" fillId="0" borderId="16" xfId="81" applyNumberFormat="1" applyFont="1" applyFill="1" applyBorder="1" applyAlignment="1">
      <alignment horizontal="center"/>
      <protection/>
    </xf>
    <xf numFmtId="0" fontId="11" fillId="0" borderId="4" xfId="81" applyNumberFormat="1" applyFont="1" applyBorder="1" applyAlignment="1">
      <alignment horizontal="center" vertical="center" wrapText="1"/>
      <protection/>
    </xf>
    <xf numFmtId="49" fontId="50" fillId="43" borderId="4" xfId="81" applyNumberFormat="1" applyFont="1" applyFill="1" applyBorder="1" applyAlignment="1">
      <alignment horizontal="center"/>
      <protection/>
    </xf>
    <xf numFmtId="172" fontId="92" fillId="43" borderId="16" xfId="0" applyNumberFormat="1" applyFont="1" applyFill="1" applyBorder="1" applyAlignment="1">
      <alignment horizontal="center" vertical="center"/>
    </xf>
    <xf numFmtId="172" fontId="92" fillId="0" borderId="16" xfId="0" applyNumberFormat="1" applyFont="1" applyBorder="1" applyAlignment="1">
      <alignment horizontal="center" vertical="center"/>
    </xf>
    <xf numFmtId="172" fontId="92" fillId="0" borderId="20" xfId="0" applyNumberFormat="1" applyFont="1" applyBorder="1" applyAlignment="1">
      <alignment horizontal="center" vertical="center"/>
    </xf>
    <xf numFmtId="0" fontId="4" fillId="0" borderId="18" xfId="81" applyNumberFormat="1" applyFont="1" applyFill="1" applyBorder="1" applyAlignment="1">
      <alignment horizontal="center"/>
      <protection/>
    </xf>
    <xf numFmtId="172" fontId="3" fillId="0" borderId="18" xfId="81" applyNumberFormat="1" applyFont="1" applyFill="1" applyBorder="1" applyAlignment="1">
      <alignment horizontal="center"/>
      <protection/>
    </xf>
    <xf numFmtId="49" fontId="4" fillId="0" borderId="16" xfId="81" applyNumberFormat="1" applyFont="1" applyFill="1" applyBorder="1" applyAlignment="1">
      <alignment horizontal="center"/>
      <protection/>
    </xf>
    <xf numFmtId="172" fontId="3" fillId="0" borderId="16" xfId="81" applyNumberFormat="1" applyFont="1" applyFill="1" applyBorder="1" applyAlignment="1">
      <alignment horizontal="center"/>
      <protection/>
    </xf>
    <xf numFmtId="49" fontId="4" fillId="45" borderId="4" xfId="81" applyNumberFormat="1" applyFont="1" applyFill="1" applyBorder="1" applyAlignment="1">
      <alignment horizontal="center"/>
      <protection/>
    </xf>
    <xf numFmtId="172" fontId="3" fillId="45" borderId="4" xfId="0" applyNumberFormat="1" applyFont="1" applyFill="1" applyBorder="1" applyAlignment="1">
      <alignment horizontal="center" vertical="center" wrapText="1"/>
    </xf>
    <xf numFmtId="0" fontId="9" fillId="46" borderId="4" xfId="81" applyFont="1" applyFill="1" applyBorder="1" applyAlignment="1">
      <alignment vertical="center" wrapText="1"/>
      <protection/>
    </xf>
    <xf numFmtId="49" fontId="11" fillId="43" borderId="19" xfId="81" applyNumberFormat="1" applyFont="1" applyFill="1" applyBorder="1" applyAlignment="1">
      <alignment horizontal="center" vertical="center" wrapText="1"/>
      <protection/>
    </xf>
    <xf numFmtId="49" fontId="11" fillId="43" borderId="18" xfId="81" applyNumberFormat="1" applyFont="1" applyFill="1" applyBorder="1" applyAlignment="1">
      <alignment horizontal="center"/>
      <protection/>
    </xf>
    <xf numFmtId="1" fontId="45" fillId="0" borderId="0" xfId="0" applyNumberFormat="1" applyFont="1" applyBorder="1" applyAlignment="1">
      <alignment horizontal="center" vertical="center"/>
    </xf>
    <xf numFmtId="1" fontId="4" fillId="0" borderId="19" xfId="81" applyNumberFormat="1" applyFont="1" applyBorder="1" applyAlignment="1">
      <alignment horizontal="center" vertical="center"/>
      <protection/>
    </xf>
    <xf numFmtId="1" fontId="4" fillId="45" borderId="4" xfId="0" applyNumberFormat="1" applyFont="1" applyFill="1" applyBorder="1" applyAlignment="1">
      <alignment horizontal="center" vertical="center" wrapText="1"/>
    </xf>
    <xf numFmtId="1" fontId="3" fillId="43" borderId="16" xfId="0" applyNumberFormat="1" applyFont="1" applyFill="1" applyBorder="1" applyAlignment="1">
      <alignment horizontal="center" vertical="center" wrapText="1"/>
    </xf>
    <xf numFmtId="1" fontId="49" fillId="0" borderId="4" xfId="81" applyNumberFormat="1" applyFont="1" applyBorder="1" applyAlignment="1">
      <alignment horizontal="center" vertical="center"/>
      <protection/>
    </xf>
    <xf numFmtId="1" fontId="4" fillId="0" borderId="4" xfId="81" applyNumberFormat="1" applyFont="1" applyBorder="1" applyAlignment="1">
      <alignment horizontal="center" vertical="center"/>
      <protection/>
    </xf>
    <xf numFmtId="1" fontId="4" fillId="43" borderId="4" xfId="81" applyNumberFormat="1" applyFont="1" applyFill="1" applyBorder="1" applyAlignment="1">
      <alignment horizontal="center" vertical="center" wrapText="1"/>
      <protection/>
    </xf>
    <xf numFmtId="1" fontId="4" fillId="43" borderId="4" xfId="81" applyNumberFormat="1" applyFont="1" applyFill="1" applyBorder="1" applyAlignment="1">
      <alignment horizontal="center" vertical="center"/>
      <protection/>
    </xf>
    <xf numFmtId="1" fontId="4" fillId="0" borderId="16" xfId="0" applyNumberFormat="1" applyFont="1" applyBorder="1" applyAlignment="1">
      <alignment horizontal="center" vertical="center"/>
    </xf>
    <xf numFmtId="1" fontId="4" fillId="0" borderId="4" xfId="81" applyNumberFormat="1" applyFont="1" applyFill="1" applyBorder="1" applyAlignment="1">
      <alignment horizontal="center"/>
      <protection/>
    </xf>
    <xf numFmtId="1" fontId="4" fillId="46" borderId="4" xfId="0" applyNumberFormat="1" applyFont="1" applyFill="1" applyBorder="1" applyAlignment="1">
      <alignment horizontal="center" vertical="center"/>
    </xf>
    <xf numFmtId="1" fontId="4" fillId="43" borderId="18" xfId="81" applyNumberFormat="1" applyFont="1" applyFill="1" applyBorder="1" applyAlignment="1">
      <alignment horizontal="center" vertical="center"/>
      <protection/>
    </xf>
    <xf numFmtId="1" fontId="4" fillId="43" borderId="16" xfId="81" applyNumberFormat="1" applyFont="1" applyFill="1" applyBorder="1" applyAlignment="1">
      <alignment horizontal="center" vertical="center"/>
      <protection/>
    </xf>
    <xf numFmtId="1" fontId="4" fillId="43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1" fontId="4" fillId="0" borderId="19" xfId="81" applyNumberFormat="1" applyFont="1" applyFill="1" applyBorder="1" applyAlignment="1">
      <alignment horizontal="center" vertical="center" wrapText="1"/>
      <protection/>
    </xf>
    <xf numFmtId="1" fontId="4" fillId="0" borderId="4" xfId="81" applyNumberFormat="1" applyFont="1" applyBorder="1" applyAlignment="1">
      <alignment horizontal="center" vertical="center" wrapText="1"/>
      <protection/>
    </xf>
    <xf numFmtId="1" fontId="4" fillId="0" borderId="4" xfId="81" applyNumberFormat="1" applyFont="1" applyFill="1" applyBorder="1" applyAlignment="1">
      <alignment horizontal="center" vertical="center" wrapText="1"/>
      <protection/>
    </xf>
    <xf numFmtId="1" fontId="4" fillId="43" borderId="19" xfId="81" applyNumberFormat="1" applyFont="1" applyFill="1" applyBorder="1" applyAlignment="1">
      <alignment horizontal="center" vertical="center" wrapText="1"/>
      <protection/>
    </xf>
    <xf numFmtId="1" fontId="4" fillId="46" borderId="18" xfId="0" applyNumberFormat="1" applyFont="1" applyFill="1" applyBorder="1" applyAlignment="1">
      <alignment horizontal="center" vertical="center" wrapText="1"/>
    </xf>
    <xf numFmtId="1" fontId="4" fillId="44" borderId="16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81" applyNumberFormat="1" applyFont="1" applyFill="1" applyBorder="1" applyAlignment="1">
      <alignment horizontal="center" vertical="center"/>
      <protection/>
    </xf>
    <xf numFmtId="1" fontId="4" fillId="0" borderId="16" xfId="81" applyNumberFormat="1" applyFont="1" applyBorder="1" applyAlignment="1">
      <alignment horizontal="center" vertical="center"/>
      <protection/>
    </xf>
    <xf numFmtId="1" fontId="4" fillId="45" borderId="19" xfId="0" applyNumberFormat="1" applyFont="1" applyFill="1" applyBorder="1" applyAlignment="1">
      <alignment horizontal="center" vertical="center"/>
    </xf>
    <xf numFmtId="1" fontId="4" fillId="0" borderId="18" xfId="81" applyNumberFormat="1" applyFont="1" applyBorder="1" applyAlignment="1">
      <alignment horizontal="center" vertical="center"/>
      <protection/>
    </xf>
    <xf numFmtId="1" fontId="4" fillId="0" borderId="4" xfId="76" applyNumberFormat="1" applyFont="1" applyBorder="1" applyAlignment="1">
      <alignment horizontal="center" vertical="center"/>
      <protection/>
    </xf>
    <xf numFmtId="1" fontId="4" fillId="0" borderId="17" xfId="0" applyNumberFormat="1" applyFont="1" applyBorder="1" applyAlignment="1">
      <alignment horizontal="center" vertical="center"/>
    </xf>
    <xf numFmtId="172" fontId="101" fillId="0" borderId="0" xfId="0" applyNumberFormat="1" applyFont="1" applyBorder="1" applyAlignment="1">
      <alignment horizontal="center" vertical="center"/>
    </xf>
    <xf numFmtId="172" fontId="105" fillId="0" borderId="0" xfId="0" applyNumberFormat="1" applyFont="1" applyBorder="1" applyAlignment="1">
      <alignment horizontal="center" vertical="center"/>
    </xf>
    <xf numFmtId="172" fontId="91" fillId="0" borderId="16" xfId="0" applyNumberFormat="1" applyFont="1" applyBorder="1" applyAlignment="1">
      <alignment horizontal="center" vertical="center" wrapText="1"/>
    </xf>
    <xf numFmtId="172" fontId="92" fillId="0" borderId="16" xfId="0" applyNumberFormat="1" applyFont="1" applyBorder="1" applyAlignment="1">
      <alignment horizontal="center" vertical="center" wrapText="1"/>
    </xf>
    <xf numFmtId="172" fontId="92" fillId="0" borderId="19" xfId="81" applyNumberFormat="1" applyFont="1" applyFill="1" applyBorder="1" applyAlignment="1">
      <alignment horizontal="center" vertical="center"/>
      <protection/>
    </xf>
    <xf numFmtId="172" fontId="92" fillId="0" borderId="4" xfId="81" applyNumberFormat="1" applyFont="1" applyFill="1" applyBorder="1" applyAlignment="1">
      <alignment horizontal="center" vertical="center"/>
      <protection/>
    </xf>
    <xf numFmtId="172" fontId="92" fillId="0" borderId="4" xfId="0" applyNumberFormat="1" applyFont="1" applyBorder="1" applyAlignment="1">
      <alignment horizontal="center" vertical="center"/>
    </xf>
    <xf numFmtId="172" fontId="92" fillId="0" borderId="18" xfId="81" applyNumberFormat="1" applyFont="1" applyFill="1" applyBorder="1" applyAlignment="1">
      <alignment horizontal="center" vertical="center"/>
      <protection/>
    </xf>
    <xf numFmtId="172" fontId="92" fillId="0" borderId="16" xfId="0" applyNumberFormat="1" applyFont="1" applyFill="1" applyBorder="1" applyAlignment="1">
      <alignment horizontal="center" vertical="center" wrapText="1"/>
    </xf>
    <xf numFmtId="172" fontId="92" fillId="0" borderId="19" xfId="81" applyNumberFormat="1" applyFont="1" applyBorder="1" applyAlignment="1">
      <alignment horizontal="center" vertical="center"/>
      <protection/>
    </xf>
    <xf numFmtId="172" fontId="92" fillId="45" borderId="4" xfId="0" applyNumberFormat="1" applyFont="1" applyFill="1" applyBorder="1" applyAlignment="1">
      <alignment horizontal="center" vertical="center" wrapText="1"/>
    </xf>
    <xf numFmtId="172" fontId="106" fillId="0" borderId="4" xfId="81" applyNumberFormat="1" applyFont="1" applyBorder="1" applyAlignment="1">
      <alignment horizontal="center" vertical="center"/>
      <protection/>
    </xf>
    <xf numFmtId="172" fontId="92" fillId="0" borderId="4" xfId="81" applyNumberFormat="1" applyFont="1" applyBorder="1" applyAlignment="1">
      <alignment horizontal="center" vertical="center"/>
      <protection/>
    </xf>
    <xf numFmtId="172" fontId="92" fillId="0" borderId="4" xfId="81" applyNumberFormat="1" applyFont="1" applyBorder="1" applyAlignment="1">
      <alignment horizontal="center" vertical="center" wrapText="1"/>
      <protection/>
    </xf>
    <xf numFmtId="172" fontId="92" fillId="43" borderId="4" xfId="81" applyNumberFormat="1" applyFont="1" applyFill="1" applyBorder="1" applyAlignment="1">
      <alignment horizontal="center" vertical="center" wrapText="1"/>
      <protection/>
    </xf>
    <xf numFmtId="172" fontId="92" fillId="47" borderId="16" xfId="0" applyNumberFormat="1" applyFont="1" applyFill="1" applyBorder="1" applyAlignment="1">
      <alignment horizontal="center" vertical="center" wrapText="1"/>
    </xf>
    <xf numFmtId="172" fontId="92" fillId="46" borderId="4" xfId="0" applyNumberFormat="1" applyFont="1" applyFill="1" applyBorder="1" applyAlignment="1">
      <alignment horizontal="center" vertical="center"/>
    </xf>
    <xf numFmtId="172" fontId="92" fillId="0" borderId="16" xfId="81" applyNumberFormat="1" applyFont="1" applyFill="1" applyBorder="1" applyAlignment="1">
      <alignment horizontal="center" vertical="center"/>
      <protection/>
    </xf>
    <xf numFmtId="172" fontId="92" fillId="0" borderId="18" xfId="81" applyNumberFormat="1" applyFont="1" applyBorder="1" applyAlignment="1">
      <alignment horizontal="center" vertical="center"/>
      <protection/>
    </xf>
    <xf numFmtId="172" fontId="92" fillId="0" borderId="16" xfId="81" applyNumberFormat="1" applyFont="1" applyBorder="1" applyAlignment="1">
      <alignment horizontal="center" vertical="center"/>
      <protection/>
    </xf>
    <xf numFmtId="172" fontId="92" fillId="46" borderId="4" xfId="0" applyNumberFormat="1" applyFont="1" applyFill="1" applyBorder="1" applyAlignment="1">
      <alignment horizontal="center" vertical="center" wrapText="1"/>
    </xf>
    <xf numFmtId="172" fontId="91" fillId="0" borderId="16" xfId="0" applyNumberFormat="1" applyFont="1" applyFill="1" applyBorder="1" applyAlignment="1">
      <alignment horizontal="center" vertical="center" wrapText="1"/>
    </xf>
    <xf numFmtId="172" fontId="92" fillId="43" borderId="4" xfId="81" applyNumberFormat="1" applyFont="1" applyFill="1" applyBorder="1" applyAlignment="1">
      <alignment horizontal="center" vertical="center"/>
      <protection/>
    </xf>
    <xf numFmtId="172" fontId="107" fillId="43" borderId="16" xfId="81" applyNumberFormat="1" applyFont="1" applyFill="1" applyBorder="1" applyAlignment="1">
      <alignment horizontal="center" vertical="center"/>
      <protection/>
    </xf>
    <xf numFmtId="172" fontId="107" fillId="43" borderId="16" xfId="81" applyNumberFormat="1" applyFont="1" applyFill="1" applyBorder="1" applyAlignment="1">
      <alignment horizontal="center"/>
      <protection/>
    </xf>
    <xf numFmtId="172" fontId="92" fillId="0" borderId="19" xfId="81" applyNumberFormat="1" applyFont="1" applyFill="1" applyBorder="1" applyAlignment="1">
      <alignment horizontal="center" vertical="center" wrapText="1"/>
      <protection/>
    </xf>
    <xf numFmtId="172" fontId="92" fillId="0" borderId="4" xfId="81" applyNumberFormat="1" applyFont="1" applyFill="1" applyBorder="1" applyAlignment="1">
      <alignment horizontal="center" vertical="center" wrapText="1"/>
      <protection/>
    </xf>
    <xf numFmtId="172" fontId="92" fillId="43" borderId="19" xfId="81" applyNumberFormat="1" applyFont="1" applyFill="1" applyBorder="1" applyAlignment="1">
      <alignment horizontal="center" vertical="center" wrapText="1"/>
      <protection/>
    </xf>
    <xf numFmtId="172" fontId="92" fillId="46" borderId="18" xfId="0" applyNumberFormat="1" applyFont="1" applyFill="1" applyBorder="1" applyAlignment="1">
      <alignment horizontal="center" vertical="center" wrapText="1"/>
    </xf>
    <xf numFmtId="172" fontId="92" fillId="0" borderId="4" xfId="81" applyNumberFormat="1" applyFont="1" applyFill="1" applyBorder="1" applyAlignment="1">
      <alignment horizontal="center" wrapText="1"/>
      <protection/>
    </xf>
    <xf numFmtId="172" fontId="92" fillId="0" borderId="4" xfId="0" applyNumberFormat="1" applyFont="1" applyBorder="1" applyAlignment="1">
      <alignment horizontal="center" vertical="center" wrapText="1"/>
    </xf>
    <xf numFmtId="172" fontId="92" fillId="0" borderId="17" xfId="0" applyNumberFormat="1" applyFont="1" applyBorder="1" applyAlignment="1">
      <alignment horizontal="center" vertical="center" wrapText="1"/>
    </xf>
    <xf numFmtId="172" fontId="92" fillId="0" borderId="21" xfId="81" applyNumberFormat="1" applyFont="1" applyFill="1" applyBorder="1" applyAlignment="1">
      <alignment horizontal="center" vertical="center"/>
      <protection/>
    </xf>
    <xf numFmtId="172" fontId="92" fillId="45" borderId="19" xfId="0" applyNumberFormat="1" applyFont="1" applyFill="1" applyBorder="1" applyAlignment="1">
      <alignment horizontal="center" vertical="center"/>
    </xf>
    <xf numFmtId="172" fontId="92" fillId="0" borderId="4" xfId="76" applyNumberFormat="1" applyFont="1" applyBorder="1" applyAlignment="1">
      <alignment horizontal="center" vertical="center"/>
      <protection/>
    </xf>
    <xf numFmtId="172" fontId="108" fillId="0" borderId="16" xfId="0" applyNumberFormat="1" applyFont="1" applyBorder="1" applyAlignment="1">
      <alignment vertical="center" wrapText="1"/>
    </xf>
    <xf numFmtId="172" fontId="92" fillId="0" borderId="0" xfId="0" applyNumberFormat="1" applyFont="1" applyAlignment="1">
      <alignment horizontal="center" vertical="center" wrapText="1"/>
    </xf>
    <xf numFmtId="172" fontId="109" fillId="0" borderId="0" xfId="0" applyNumberFormat="1" applyFont="1" applyAlignment="1">
      <alignment horizontal="center" vertical="center" wrapText="1"/>
    </xf>
    <xf numFmtId="172" fontId="92" fillId="0" borderId="0" xfId="0" applyNumberFormat="1" applyFont="1" applyFill="1" applyBorder="1" applyAlignment="1">
      <alignment horizontal="center" vertical="center" wrapText="1"/>
    </xf>
    <xf numFmtId="49" fontId="11" fillId="43" borderId="17" xfId="81" applyNumberFormat="1" applyFont="1" applyFill="1" applyBorder="1" applyAlignment="1">
      <alignment horizontal="center"/>
      <protection/>
    </xf>
    <xf numFmtId="0" fontId="11" fillId="43" borderId="16" xfId="81" applyFont="1" applyFill="1" applyBorder="1" applyAlignment="1">
      <alignment horizontal="center"/>
      <protection/>
    </xf>
    <xf numFmtId="1" fontId="92" fillId="50" borderId="16" xfId="0" applyNumberFormat="1" applyFont="1" applyFill="1" applyBorder="1" applyAlignment="1">
      <alignment horizontal="center" vertical="center"/>
    </xf>
    <xf numFmtId="1" fontId="4" fillId="50" borderId="16" xfId="0" applyNumberFormat="1" applyFont="1" applyFill="1" applyBorder="1" applyAlignment="1">
      <alignment horizontal="center"/>
    </xf>
    <xf numFmtId="172" fontId="42" fillId="0" borderId="25" xfId="0" applyNumberFormat="1" applyFont="1" applyBorder="1" applyAlignment="1">
      <alignment horizontal="center" vertical="center"/>
    </xf>
    <xf numFmtId="172" fontId="51" fillId="0" borderId="26" xfId="81" applyNumberFormat="1" applyFont="1" applyFill="1" applyBorder="1" applyAlignment="1">
      <alignment horizontal="center" vertical="center" wrapText="1"/>
      <protection/>
    </xf>
    <xf numFmtId="0" fontId="42" fillId="0" borderId="17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 wrapText="1"/>
    </xf>
    <xf numFmtId="0" fontId="93" fillId="0" borderId="27" xfId="0" applyFont="1" applyFill="1" applyBorder="1" applyAlignment="1">
      <alignment horizontal="center" vertical="center" wrapText="1"/>
    </xf>
    <xf numFmtId="0" fontId="93" fillId="0" borderId="16" xfId="0" applyFont="1" applyFill="1" applyBorder="1" applyAlignment="1">
      <alignment horizontal="center" vertical="center" wrapText="1"/>
    </xf>
    <xf numFmtId="1" fontId="42" fillId="0" borderId="20" xfId="0" applyNumberFormat="1" applyFont="1" applyFill="1" applyBorder="1" applyAlignment="1">
      <alignment horizontal="center" vertical="center" wrapText="1"/>
    </xf>
    <xf numFmtId="1" fontId="42" fillId="0" borderId="31" xfId="0" applyNumberFormat="1" applyFont="1" applyFill="1" applyBorder="1" applyAlignment="1">
      <alignment horizontal="center" vertical="center" wrapText="1"/>
    </xf>
    <xf numFmtId="1" fontId="42" fillId="0" borderId="2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172" fontId="15" fillId="0" borderId="32" xfId="0" applyNumberFormat="1" applyFont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17" fillId="0" borderId="33" xfId="81" applyFont="1" applyBorder="1" applyAlignment="1">
      <alignment horizontal="center" vertical="center" wrapText="1"/>
      <protection/>
    </xf>
    <xf numFmtId="0" fontId="17" fillId="0" borderId="34" xfId="81" applyFont="1" applyBorder="1" applyAlignment="1">
      <alignment horizontal="center" vertical="center" wrapText="1"/>
      <protection/>
    </xf>
    <xf numFmtId="172" fontId="17" fillId="0" borderId="35" xfId="81" applyNumberFormat="1" applyFont="1" applyBorder="1" applyAlignment="1">
      <alignment horizontal="center" vertical="center" wrapText="1"/>
      <protection/>
    </xf>
    <xf numFmtId="172" fontId="17" fillId="0" borderId="26" xfId="81" applyNumberFormat="1" applyFont="1" applyBorder="1" applyAlignment="1">
      <alignment horizontal="center" vertical="center" wrapText="1"/>
      <protection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left" vertical="center" wrapText="1"/>
    </xf>
    <xf numFmtId="2" fontId="5" fillId="0" borderId="31" xfId="0" applyNumberFormat="1" applyFont="1" applyBorder="1" applyAlignment="1">
      <alignment horizontal="left" vertical="center" wrapText="1"/>
    </xf>
    <xf numFmtId="2" fontId="5" fillId="0" borderId="24" xfId="0" applyNumberFormat="1" applyFont="1" applyBorder="1" applyAlignment="1">
      <alignment horizontal="left" vertical="center" wrapText="1"/>
    </xf>
    <xf numFmtId="2" fontId="5" fillId="43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172" fontId="17" fillId="0" borderId="40" xfId="81" applyNumberFormat="1" applyFont="1" applyBorder="1" applyAlignment="1">
      <alignment horizontal="center" vertical="center" wrapText="1"/>
      <protection/>
    </xf>
    <xf numFmtId="0" fontId="15" fillId="0" borderId="41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2" fontId="107" fillId="0" borderId="36" xfId="0" applyNumberFormat="1" applyFont="1" applyBorder="1" applyAlignment="1">
      <alignment horizontal="center" vertical="center" wrapText="1"/>
    </xf>
    <xf numFmtId="172" fontId="107" fillId="0" borderId="4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98" fillId="0" borderId="0" xfId="0" applyFont="1" applyAlignment="1">
      <alignment horizontal="right"/>
    </xf>
    <xf numFmtId="0" fontId="101" fillId="0" borderId="0" xfId="0" applyFont="1" applyBorder="1" applyAlignment="1">
      <alignment horizontal="center"/>
    </xf>
    <xf numFmtId="0" fontId="42" fillId="0" borderId="17" xfId="0" applyFont="1" applyFill="1" applyBorder="1" applyAlignment="1">
      <alignment horizontal="center" vertical="distributed"/>
    </xf>
    <xf numFmtId="0" fontId="42" fillId="0" borderId="27" xfId="0" applyFont="1" applyFill="1" applyBorder="1" applyAlignment="1">
      <alignment horizontal="center" vertical="distributed"/>
    </xf>
    <xf numFmtId="0" fontId="100" fillId="0" borderId="20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3" fillId="0" borderId="0" xfId="0" applyFont="1" applyAlignment="1">
      <alignment horizontal="left" vertical="distributed"/>
    </xf>
    <xf numFmtId="0" fontId="98" fillId="0" borderId="42" xfId="0" applyFont="1" applyBorder="1" applyAlignment="1">
      <alignment horizontal="center"/>
    </xf>
    <xf numFmtId="0" fontId="100" fillId="0" borderId="1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1" fontId="42" fillId="0" borderId="36" xfId="0" applyNumberFormat="1" applyFont="1" applyBorder="1" applyAlignment="1">
      <alignment horizontal="center" vertical="center" wrapText="1"/>
    </xf>
    <xf numFmtId="1" fontId="42" fillId="0" borderId="41" xfId="0" applyNumberFormat="1" applyFont="1" applyBorder="1" applyAlignment="1">
      <alignment horizontal="center" vertical="center" wrapText="1"/>
    </xf>
    <xf numFmtId="172" fontId="42" fillId="0" borderId="32" xfId="0" applyNumberFormat="1" applyFont="1" applyBorder="1" applyAlignment="1">
      <alignment horizontal="center" vertical="center"/>
    </xf>
    <xf numFmtId="172" fontId="51" fillId="0" borderId="40" xfId="81" applyNumberFormat="1" applyFont="1" applyBorder="1" applyAlignment="1">
      <alignment horizontal="center" vertical="center" wrapText="1"/>
      <protection/>
    </xf>
    <xf numFmtId="0" fontId="15" fillId="0" borderId="42" xfId="0" applyFont="1" applyBorder="1" applyAlignment="1">
      <alignment horizontal="center" wrapText="1"/>
    </xf>
    <xf numFmtId="0" fontId="51" fillId="0" borderId="33" xfId="81" applyFont="1" applyBorder="1" applyAlignment="1">
      <alignment horizontal="center" vertical="center" wrapText="1"/>
      <protection/>
    </xf>
    <xf numFmtId="0" fontId="51" fillId="0" borderId="34" xfId="81" applyFont="1" applyBorder="1" applyAlignment="1">
      <alignment horizontal="center" vertical="center" wrapText="1"/>
      <protection/>
    </xf>
    <xf numFmtId="172" fontId="51" fillId="0" borderId="35" xfId="81" applyNumberFormat="1" applyFont="1" applyBorder="1" applyAlignment="1">
      <alignment horizontal="center" vertical="center" wrapText="1"/>
      <protection/>
    </xf>
    <xf numFmtId="172" fontId="51" fillId="0" borderId="26" xfId="81" applyNumberFormat="1" applyFont="1" applyBorder="1" applyAlignment="1">
      <alignment horizontal="center" vertical="center" wrapText="1"/>
      <protection/>
    </xf>
    <xf numFmtId="0" fontId="97" fillId="43" borderId="20" xfId="0" applyFont="1" applyFill="1" applyBorder="1" applyAlignment="1">
      <alignment horizontal="center" vertical="center" wrapText="1"/>
    </xf>
    <xf numFmtId="0" fontId="97" fillId="43" borderId="24" xfId="0" applyFont="1" applyFill="1" applyBorder="1" applyAlignment="1">
      <alignment horizontal="center" vertical="center" wrapText="1"/>
    </xf>
    <xf numFmtId="1" fontId="42" fillId="0" borderId="17" xfId="0" applyNumberFormat="1" applyFont="1" applyFill="1" applyBorder="1" applyAlignment="1">
      <alignment horizontal="center" vertical="center" wrapText="1"/>
    </xf>
    <xf numFmtId="1" fontId="42" fillId="0" borderId="27" xfId="0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 2" xfId="71"/>
    <cellStyle name="Обычный 2_Для перспективки все" xfId="72"/>
    <cellStyle name="Обычный 3" xfId="73"/>
    <cellStyle name="Обычный 4" xfId="74"/>
    <cellStyle name="Обычный 5" xfId="75"/>
    <cellStyle name="Обычный 5 2" xfId="76"/>
    <cellStyle name="Обычный 6" xfId="77"/>
    <cellStyle name="Обычный 7" xfId="78"/>
    <cellStyle name="Обычный 8" xfId="79"/>
    <cellStyle name="Обычный 9" xfId="80"/>
    <cellStyle name="Обычный_Для перспективки все" xfId="81"/>
    <cellStyle name="Followed Hyperlink" xfId="82"/>
    <cellStyle name="Плохой" xfId="83"/>
    <cellStyle name="Плохой 2" xfId="84"/>
    <cellStyle name="Пояснение" xfId="85"/>
    <cellStyle name="Пояснение 2" xfId="86"/>
    <cellStyle name="Примечание" xfId="87"/>
    <cellStyle name="Примечание 2" xfId="88"/>
    <cellStyle name="Percent" xfId="89"/>
    <cellStyle name="Связанная ячейка" xfId="90"/>
    <cellStyle name="Связанная ячейка 2" xfId="91"/>
    <cellStyle name="Текст предупреждения" xfId="92"/>
    <cellStyle name="Текст предупреждения 2" xfId="93"/>
    <cellStyle name="Comma" xfId="94"/>
    <cellStyle name="Comma [0]" xfId="95"/>
    <cellStyle name="Хороший" xfId="96"/>
    <cellStyle name="Хороший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6">
      <selection activeCell="Q21" sqref="Q21"/>
    </sheetView>
  </sheetViews>
  <sheetFormatPr defaultColWidth="9.00390625" defaultRowHeight="12.75"/>
  <cols>
    <col min="1" max="1" width="4.625" style="186" customWidth="1"/>
    <col min="2" max="2" width="42.25390625" style="186" customWidth="1"/>
    <col min="3" max="3" width="6.25390625" style="186" customWidth="1"/>
    <col min="4" max="4" width="6.375" style="186" customWidth="1"/>
    <col min="5" max="5" width="5.875" style="189" customWidth="1"/>
    <col min="6" max="6" width="6.00390625" style="189" customWidth="1"/>
    <col min="7" max="8" width="6.125" style="189" customWidth="1"/>
    <col min="9" max="9" width="6.25390625" style="419" customWidth="1"/>
    <col min="10" max="10" width="6.125" style="189" customWidth="1"/>
    <col min="11" max="11" width="6.25390625" style="189" customWidth="1"/>
    <col min="12" max="14" width="6.00390625" style="189" customWidth="1"/>
    <col min="15" max="15" width="7.875" style="187" customWidth="1"/>
    <col min="16" max="16" width="7.375" style="187" customWidth="1"/>
    <col min="17" max="17" width="7.75390625" style="186" customWidth="1"/>
  </cols>
  <sheetData>
    <row r="1" spans="1:17" ht="12.75">
      <c r="A1" s="564" t="s">
        <v>145</v>
      </c>
      <c r="B1" s="564" t="s">
        <v>146</v>
      </c>
      <c r="C1" s="566" t="s">
        <v>147</v>
      </c>
      <c r="D1" s="566"/>
      <c r="E1" s="567" t="s">
        <v>148</v>
      </c>
      <c r="F1" s="568"/>
      <c r="G1" s="568"/>
      <c r="H1" s="568"/>
      <c r="I1" s="568"/>
      <c r="J1" s="568"/>
      <c r="K1" s="568"/>
      <c r="L1" s="568"/>
      <c r="M1" s="568"/>
      <c r="N1" s="569"/>
      <c r="O1" s="562" t="s">
        <v>149</v>
      </c>
      <c r="P1" s="562" t="s">
        <v>150</v>
      </c>
      <c r="Q1" s="562" t="s">
        <v>151</v>
      </c>
    </row>
    <row r="2" spans="1:17" ht="25.5">
      <c r="A2" s="565"/>
      <c r="B2" s="565"/>
      <c r="C2" s="147" t="s">
        <v>152</v>
      </c>
      <c r="D2" s="148" t="s">
        <v>153</v>
      </c>
      <c r="E2" s="416">
        <v>1</v>
      </c>
      <c r="F2" s="416">
        <v>2</v>
      </c>
      <c r="G2" s="416">
        <v>3</v>
      </c>
      <c r="H2" s="416">
        <v>4</v>
      </c>
      <c r="I2" s="417">
        <v>5</v>
      </c>
      <c r="J2" s="416">
        <v>6</v>
      </c>
      <c r="K2" s="416">
        <v>7</v>
      </c>
      <c r="L2" s="416">
        <v>8</v>
      </c>
      <c r="M2" s="416">
        <v>9</v>
      </c>
      <c r="N2" s="416">
        <v>10</v>
      </c>
      <c r="O2" s="563"/>
      <c r="P2" s="563"/>
      <c r="Q2" s="563"/>
    </row>
    <row r="3" spans="1:17" ht="30">
      <c r="A3" s="149" t="s">
        <v>154</v>
      </c>
      <c r="B3" s="150" t="s">
        <v>155</v>
      </c>
      <c r="C3" s="149">
        <v>405</v>
      </c>
      <c r="D3" s="151">
        <f aca="true" t="shared" si="0" ref="D3:D25">C3*10</f>
        <v>4050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153">
        <f>O4+O5+O6+O7+O8+O9+O10</f>
        <v>3825.5000000000005</v>
      </c>
      <c r="P3" s="154">
        <f>O3/10</f>
        <v>382.55000000000007</v>
      </c>
      <c r="Q3" s="155">
        <f>(O3-D3)/10</f>
        <v>-22.449999999999953</v>
      </c>
    </row>
    <row r="4" spans="1:17" ht="15">
      <c r="A4" s="156"/>
      <c r="B4" s="157" t="s">
        <v>156</v>
      </c>
      <c r="C4" s="158">
        <v>245</v>
      </c>
      <c r="D4" s="159">
        <f t="shared" si="0"/>
        <v>2450</v>
      </c>
      <c r="E4" s="418">
        <v>296</v>
      </c>
      <c r="F4" s="418">
        <v>254</v>
      </c>
      <c r="G4" s="418">
        <v>267</v>
      </c>
      <c r="H4" s="418">
        <v>274</v>
      </c>
      <c r="I4" s="418">
        <v>49</v>
      </c>
      <c r="J4" s="418">
        <v>340</v>
      </c>
      <c r="K4" s="418">
        <v>138</v>
      </c>
      <c r="L4" s="418">
        <v>46</v>
      </c>
      <c r="M4" s="418">
        <v>392</v>
      </c>
      <c r="N4" s="418">
        <v>342</v>
      </c>
      <c r="O4" s="159">
        <f aca="true" t="shared" si="1" ref="O4:O46">SUM(E4:N4)</f>
        <v>2398</v>
      </c>
      <c r="P4" s="161">
        <f aca="true" t="shared" si="2" ref="P4:P46">O4/10</f>
        <v>239.8</v>
      </c>
      <c r="Q4" s="162">
        <f aca="true" t="shared" si="3" ref="Q4:Q46">(O4-D4)/10</f>
        <v>-5.2</v>
      </c>
    </row>
    <row r="5" spans="1:17" ht="15">
      <c r="A5" s="158"/>
      <c r="B5" s="157" t="s">
        <v>157</v>
      </c>
      <c r="C5" s="158">
        <v>20</v>
      </c>
      <c r="D5" s="159">
        <f t="shared" si="0"/>
        <v>200</v>
      </c>
      <c r="E5" s="418"/>
      <c r="F5" s="418"/>
      <c r="G5" s="418">
        <v>35</v>
      </c>
      <c r="H5" s="418"/>
      <c r="I5" s="418"/>
      <c r="J5" s="418"/>
      <c r="K5" s="418">
        <v>34</v>
      </c>
      <c r="L5" s="418">
        <v>40</v>
      </c>
      <c r="M5" s="418">
        <v>54</v>
      </c>
      <c r="N5" s="418"/>
      <c r="O5" s="159">
        <f t="shared" si="1"/>
        <v>163</v>
      </c>
      <c r="P5" s="161">
        <f t="shared" si="2"/>
        <v>16.3</v>
      </c>
      <c r="Q5" s="162">
        <f t="shared" si="3"/>
        <v>-3.7</v>
      </c>
    </row>
    <row r="6" spans="1:17" ht="15">
      <c r="A6" s="158"/>
      <c r="B6" s="157" t="s">
        <v>158</v>
      </c>
      <c r="C6" s="158">
        <v>44</v>
      </c>
      <c r="D6" s="159">
        <f t="shared" si="0"/>
        <v>440</v>
      </c>
      <c r="E6" s="418">
        <v>110</v>
      </c>
      <c r="F6" s="418"/>
      <c r="G6" s="418">
        <v>36</v>
      </c>
      <c r="H6" s="418">
        <v>110</v>
      </c>
      <c r="I6" s="418"/>
      <c r="J6" s="418">
        <v>110</v>
      </c>
      <c r="K6" s="418">
        <v>36</v>
      </c>
      <c r="L6" s="418"/>
      <c r="M6" s="418"/>
      <c r="N6" s="418">
        <v>33.3</v>
      </c>
      <c r="O6" s="159">
        <f t="shared" si="1"/>
        <v>435.3</v>
      </c>
      <c r="P6" s="161">
        <f t="shared" si="2"/>
        <v>43.53</v>
      </c>
      <c r="Q6" s="162">
        <f t="shared" si="3"/>
        <v>-0.46999999999999886</v>
      </c>
    </row>
    <row r="7" spans="1:17" ht="15">
      <c r="A7" s="156"/>
      <c r="B7" s="157" t="s">
        <v>159</v>
      </c>
      <c r="C7" s="158">
        <v>36</v>
      </c>
      <c r="D7" s="159">
        <f t="shared" si="0"/>
        <v>360</v>
      </c>
      <c r="E7" s="418"/>
      <c r="F7" s="418"/>
      <c r="G7" s="418">
        <v>180</v>
      </c>
      <c r="H7" s="418"/>
      <c r="I7" s="418"/>
      <c r="J7" s="418"/>
      <c r="K7" s="418"/>
      <c r="L7" s="418">
        <v>180</v>
      </c>
      <c r="M7" s="418"/>
      <c r="N7" s="418"/>
      <c r="O7" s="159">
        <f t="shared" si="1"/>
        <v>360</v>
      </c>
      <c r="P7" s="161">
        <f t="shared" si="2"/>
        <v>36</v>
      </c>
      <c r="Q7" s="162">
        <f t="shared" si="3"/>
        <v>0</v>
      </c>
    </row>
    <row r="8" spans="1:17" ht="15">
      <c r="A8" s="163" t="s">
        <v>160</v>
      </c>
      <c r="B8" s="156" t="s">
        <v>161</v>
      </c>
      <c r="C8" s="158">
        <v>36</v>
      </c>
      <c r="D8" s="159">
        <f t="shared" si="0"/>
        <v>360</v>
      </c>
      <c r="E8" s="418"/>
      <c r="F8" s="418"/>
      <c r="G8" s="418">
        <v>173</v>
      </c>
      <c r="H8" s="418"/>
      <c r="I8" s="418">
        <v>23.8</v>
      </c>
      <c r="J8" s="418"/>
      <c r="K8" s="418"/>
      <c r="L8" s="418">
        <v>106</v>
      </c>
      <c r="M8" s="418"/>
      <c r="N8" s="418">
        <v>22</v>
      </c>
      <c r="O8" s="159">
        <f t="shared" si="1"/>
        <v>324.8</v>
      </c>
      <c r="P8" s="161">
        <f t="shared" si="2"/>
        <v>32.480000000000004</v>
      </c>
      <c r="Q8" s="162">
        <f t="shared" si="3"/>
        <v>-3.5199999999999987</v>
      </c>
    </row>
    <row r="9" spans="1:17" ht="15">
      <c r="A9" s="163" t="s">
        <v>162</v>
      </c>
      <c r="B9" s="156" t="s">
        <v>163</v>
      </c>
      <c r="C9" s="158">
        <v>10</v>
      </c>
      <c r="D9" s="159">
        <f t="shared" si="0"/>
        <v>100</v>
      </c>
      <c r="E9" s="418"/>
      <c r="F9" s="418">
        <v>24</v>
      </c>
      <c r="G9" s="418">
        <v>7</v>
      </c>
      <c r="H9" s="418">
        <v>23</v>
      </c>
      <c r="I9" s="418">
        <v>4</v>
      </c>
      <c r="J9" s="418"/>
      <c r="K9" s="418">
        <v>7</v>
      </c>
      <c r="L9" s="418">
        <v>5.4</v>
      </c>
      <c r="M9" s="418"/>
      <c r="N9" s="418">
        <v>19</v>
      </c>
      <c r="O9" s="159">
        <f t="shared" si="1"/>
        <v>89.4</v>
      </c>
      <c r="P9" s="161">
        <f t="shared" si="2"/>
        <v>8.940000000000001</v>
      </c>
      <c r="Q9" s="162">
        <f t="shared" si="3"/>
        <v>-1.0599999999999994</v>
      </c>
    </row>
    <row r="10" spans="1:17" ht="15">
      <c r="A10" s="163" t="s">
        <v>164</v>
      </c>
      <c r="B10" s="156" t="s">
        <v>165</v>
      </c>
      <c r="C10" s="158">
        <v>5.9</v>
      </c>
      <c r="D10" s="159">
        <f t="shared" si="0"/>
        <v>59</v>
      </c>
      <c r="E10" s="418"/>
      <c r="F10" s="418"/>
      <c r="G10" s="418">
        <v>22</v>
      </c>
      <c r="H10" s="418">
        <v>11</v>
      </c>
      <c r="I10" s="418"/>
      <c r="J10" s="418"/>
      <c r="K10" s="418">
        <v>22</v>
      </c>
      <c r="L10" s="418"/>
      <c r="M10" s="418"/>
      <c r="N10" s="418"/>
      <c r="O10" s="159">
        <f>SUM(E10:N10)</f>
        <v>55</v>
      </c>
      <c r="P10" s="161">
        <f t="shared" si="2"/>
        <v>5.5</v>
      </c>
      <c r="Q10" s="162">
        <f t="shared" si="3"/>
        <v>-0.4</v>
      </c>
    </row>
    <row r="11" spans="1:17" ht="30">
      <c r="A11" s="149" t="s">
        <v>166</v>
      </c>
      <c r="B11" s="164" t="s">
        <v>167</v>
      </c>
      <c r="C11" s="149">
        <v>50</v>
      </c>
      <c r="D11" s="151">
        <f t="shared" si="0"/>
        <v>500</v>
      </c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153">
        <f>O12+O13</f>
        <v>504.9</v>
      </c>
      <c r="P11" s="154">
        <f t="shared" si="2"/>
        <v>50.489999999999995</v>
      </c>
      <c r="Q11" s="155">
        <f t="shared" si="3"/>
        <v>0.4899999999999977</v>
      </c>
    </row>
    <row r="12" spans="1:17" ht="15">
      <c r="A12" s="163"/>
      <c r="B12" s="157" t="s">
        <v>168</v>
      </c>
      <c r="C12" s="158">
        <v>44</v>
      </c>
      <c r="D12" s="159">
        <f t="shared" si="0"/>
        <v>440</v>
      </c>
      <c r="E12" s="418"/>
      <c r="F12" s="418">
        <v>51</v>
      </c>
      <c r="G12" s="418">
        <v>97</v>
      </c>
      <c r="H12" s="418">
        <v>48.2</v>
      </c>
      <c r="I12" s="418">
        <v>24</v>
      </c>
      <c r="J12" s="418">
        <v>21</v>
      </c>
      <c r="K12" s="418">
        <v>129</v>
      </c>
      <c r="L12" s="418"/>
      <c r="M12" s="418">
        <v>13.7</v>
      </c>
      <c r="N12" s="418">
        <v>59</v>
      </c>
      <c r="O12" s="159">
        <f t="shared" si="1"/>
        <v>442.9</v>
      </c>
      <c r="P12" s="161">
        <f t="shared" si="2"/>
        <v>44.29</v>
      </c>
      <c r="Q12" s="162">
        <f t="shared" si="3"/>
        <v>0.2899999999999977</v>
      </c>
    </row>
    <row r="13" spans="1:17" ht="15">
      <c r="A13" s="163"/>
      <c r="B13" s="157" t="s">
        <v>169</v>
      </c>
      <c r="C13" s="158">
        <v>6</v>
      </c>
      <c r="D13" s="159">
        <f t="shared" si="0"/>
        <v>60</v>
      </c>
      <c r="E13" s="418">
        <v>31</v>
      </c>
      <c r="F13" s="418"/>
      <c r="G13" s="418"/>
      <c r="H13" s="418"/>
      <c r="I13" s="418"/>
      <c r="J13" s="418">
        <v>31</v>
      </c>
      <c r="K13" s="418"/>
      <c r="L13" s="418"/>
      <c r="M13" s="418"/>
      <c r="N13" s="418"/>
      <c r="O13" s="159">
        <f t="shared" si="1"/>
        <v>62</v>
      </c>
      <c r="P13" s="161">
        <f t="shared" si="2"/>
        <v>6.2</v>
      </c>
      <c r="Q13" s="162">
        <f t="shared" si="3"/>
        <v>0.2</v>
      </c>
    </row>
    <row r="14" spans="1:17" ht="15">
      <c r="A14" s="149" t="s">
        <v>170</v>
      </c>
      <c r="B14" s="164" t="s">
        <v>171</v>
      </c>
      <c r="C14" s="149">
        <v>22</v>
      </c>
      <c r="D14" s="151">
        <f t="shared" si="0"/>
        <v>220</v>
      </c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153">
        <f>O15+O16</f>
        <v>224</v>
      </c>
      <c r="P14" s="154">
        <f t="shared" si="2"/>
        <v>22.4</v>
      </c>
      <c r="Q14" s="155">
        <f t="shared" si="3"/>
        <v>0.4</v>
      </c>
    </row>
    <row r="15" spans="1:17" ht="15">
      <c r="A15" s="163"/>
      <c r="B15" s="157" t="s">
        <v>172</v>
      </c>
      <c r="C15" s="158">
        <v>12</v>
      </c>
      <c r="D15" s="159">
        <f t="shared" si="0"/>
        <v>120</v>
      </c>
      <c r="E15" s="418"/>
      <c r="F15" s="418"/>
      <c r="G15" s="418"/>
      <c r="H15" s="418">
        <v>71</v>
      </c>
      <c r="I15" s="418"/>
      <c r="J15" s="418"/>
      <c r="K15" s="418"/>
      <c r="L15" s="418">
        <v>33</v>
      </c>
      <c r="M15" s="418"/>
      <c r="N15" s="418">
        <v>20</v>
      </c>
      <c r="O15" s="159">
        <f t="shared" si="1"/>
        <v>124</v>
      </c>
      <c r="P15" s="161">
        <f t="shared" si="2"/>
        <v>12.4</v>
      </c>
      <c r="Q15" s="162">
        <f t="shared" si="3"/>
        <v>0.4</v>
      </c>
    </row>
    <row r="16" spans="1:17" ht="24.75" customHeight="1">
      <c r="A16" s="163"/>
      <c r="B16" s="157" t="s">
        <v>173</v>
      </c>
      <c r="C16" s="158">
        <v>10</v>
      </c>
      <c r="D16" s="159">
        <f t="shared" si="0"/>
        <v>100</v>
      </c>
      <c r="E16" s="418">
        <v>24</v>
      </c>
      <c r="F16" s="418"/>
      <c r="G16" s="418"/>
      <c r="H16" s="418"/>
      <c r="I16" s="418"/>
      <c r="J16" s="418">
        <v>25</v>
      </c>
      <c r="K16" s="418"/>
      <c r="L16" s="418"/>
      <c r="M16" s="418">
        <v>51</v>
      </c>
      <c r="N16" s="418"/>
      <c r="O16" s="159">
        <f t="shared" si="1"/>
        <v>100</v>
      </c>
      <c r="P16" s="161">
        <f t="shared" si="2"/>
        <v>10</v>
      </c>
      <c r="Q16" s="162">
        <f t="shared" si="3"/>
        <v>0</v>
      </c>
    </row>
    <row r="17" spans="1:17" ht="15">
      <c r="A17" s="149" t="s">
        <v>174</v>
      </c>
      <c r="B17" s="164" t="s">
        <v>175</v>
      </c>
      <c r="C17" s="149">
        <v>23</v>
      </c>
      <c r="D17" s="151">
        <f t="shared" si="0"/>
        <v>230</v>
      </c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153">
        <f>O18</f>
        <v>198</v>
      </c>
      <c r="P17" s="154">
        <f t="shared" si="2"/>
        <v>19.8</v>
      </c>
      <c r="Q17" s="155">
        <v>0</v>
      </c>
    </row>
    <row r="18" spans="1:17" ht="15">
      <c r="A18" s="163"/>
      <c r="B18" s="157" t="s">
        <v>176</v>
      </c>
      <c r="C18" s="158">
        <v>23</v>
      </c>
      <c r="D18" s="159">
        <f t="shared" si="0"/>
        <v>230</v>
      </c>
      <c r="E18" s="418"/>
      <c r="F18" s="418"/>
      <c r="G18" s="418"/>
      <c r="H18" s="418"/>
      <c r="I18" s="418">
        <v>104</v>
      </c>
      <c r="J18" s="418"/>
      <c r="K18" s="418"/>
      <c r="L18" s="418">
        <v>94</v>
      </c>
      <c r="M18" s="418"/>
      <c r="N18" s="418"/>
      <c r="O18" s="159">
        <f t="shared" si="1"/>
        <v>198</v>
      </c>
      <c r="P18" s="161">
        <f t="shared" si="2"/>
        <v>19.8</v>
      </c>
      <c r="Q18" s="162">
        <f t="shared" si="3"/>
        <v>-3.2</v>
      </c>
    </row>
    <row r="19" spans="1:17" ht="15">
      <c r="A19" s="149" t="s">
        <v>177</v>
      </c>
      <c r="B19" s="164" t="s">
        <v>178</v>
      </c>
      <c r="C19" s="149">
        <v>33</v>
      </c>
      <c r="D19" s="151">
        <f t="shared" si="0"/>
        <v>330</v>
      </c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153">
        <f>O20+O21</f>
        <v>342</v>
      </c>
      <c r="P19" s="154">
        <f t="shared" si="2"/>
        <v>34.2</v>
      </c>
      <c r="Q19" s="155">
        <f t="shared" si="3"/>
        <v>1.2</v>
      </c>
    </row>
    <row r="20" spans="1:17" ht="15">
      <c r="A20" s="163"/>
      <c r="B20" s="157" t="s">
        <v>179</v>
      </c>
      <c r="C20" s="158">
        <v>0</v>
      </c>
      <c r="D20" s="159">
        <f t="shared" si="0"/>
        <v>0</v>
      </c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159">
        <f t="shared" si="1"/>
        <v>0</v>
      </c>
      <c r="P20" s="161">
        <f t="shared" si="2"/>
        <v>0</v>
      </c>
      <c r="Q20" s="162">
        <f t="shared" si="3"/>
        <v>0</v>
      </c>
    </row>
    <row r="21" spans="1:17" ht="15">
      <c r="A21" s="163"/>
      <c r="B21" s="157" t="s">
        <v>180</v>
      </c>
      <c r="C21" s="158">
        <v>33</v>
      </c>
      <c r="D21" s="159">
        <f t="shared" si="0"/>
        <v>330</v>
      </c>
      <c r="E21" s="418">
        <v>73</v>
      </c>
      <c r="F21" s="418">
        <v>60</v>
      </c>
      <c r="G21" s="418"/>
      <c r="H21" s="418">
        <v>70</v>
      </c>
      <c r="I21" s="418"/>
      <c r="J21" s="418">
        <v>85</v>
      </c>
      <c r="K21" s="418"/>
      <c r="L21" s="418"/>
      <c r="M21" s="418">
        <v>54</v>
      </c>
      <c r="N21" s="418"/>
      <c r="O21" s="159">
        <f t="shared" si="1"/>
        <v>342</v>
      </c>
      <c r="P21" s="161">
        <f t="shared" si="2"/>
        <v>34.2</v>
      </c>
      <c r="Q21" s="162">
        <f>(O21-D21)/10</f>
        <v>1.2</v>
      </c>
    </row>
    <row r="22" spans="1:17" ht="15">
      <c r="A22" s="163" t="s">
        <v>181</v>
      </c>
      <c r="B22" s="156" t="s">
        <v>182</v>
      </c>
      <c r="C22" s="158">
        <v>36</v>
      </c>
      <c r="D22" s="159">
        <f t="shared" si="0"/>
        <v>360</v>
      </c>
      <c r="E22" s="418">
        <v>10</v>
      </c>
      <c r="F22" s="418">
        <v>3</v>
      </c>
      <c r="G22" s="418">
        <v>94</v>
      </c>
      <c r="H22" s="418">
        <v>13</v>
      </c>
      <c r="I22" s="418">
        <v>89.5</v>
      </c>
      <c r="J22" s="418"/>
      <c r="K22" s="418">
        <v>6.3</v>
      </c>
      <c r="L22" s="418">
        <v>92</v>
      </c>
      <c r="M22" s="418">
        <v>4.6</v>
      </c>
      <c r="N22" s="418">
        <v>5.2</v>
      </c>
      <c r="O22" s="159">
        <f t="shared" si="1"/>
        <v>317.6</v>
      </c>
      <c r="P22" s="161">
        <f t="shared" si="2"/>
        <v>31.76</v>
      </c>
      <c r="Q22" s="162">
        <f>(O22-D22)/10</f>
        <v>-4.2399999999999975</v>
      </c>
    </row>
    <row r="23" spans="1:17" ht="15">
      <c r="A23" s="149" t="s">
        <v>183</v>
      </c>
      <c r="B23" s="164" t="s">
        <v>184</v>
      </c>
      <c r="C23" s="165">
        <v>126</v>
      </c>
      <c r="D23" s="151">
        <f t="shared" si="0"/>
        <v>1260</v>
      </c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153">
        <f>O24</f>
        <v>1243.3</v>
      </c>
      <c r="P23" s="154">
        <f t="shared" si="2"/>
        <v>124.33</v>
      </c>
      <c r="Q23" s="155">
        <f>(O23-D23)/10</f>
        <v>-1.6700000000000046</v>
      </c>
    </row>
    <row r="24" spans="1:17" ht="15">
      <c r="A24" s="163"/>
      <c r="B24" s="156" t="s">
        <v>185</v>
      </c>
      <c r="C24" s="166">
        <v>126</v>
      </c>
      <c r="D24" s="159">
        <f t="shared" si="0"/>
        <v>1260</v>
      </c>
      <c r="E24" s="418">
        <v>103</v>
      </c>
      <c r="F24" s="418">
        <v>146</v>
      </c>
      <c r="G24" s="418">
        <v>90</v>
      </c>
      <c r="H24" s="418">
        <v>115</v>
      </c>
      <c r="I24" s="418">
        <v>147.3</v>
      </c>
      <c r="J24" s="418">
        <v>111</v>
      </c>
      <c r="K24" s="418">
        <v>210</v>
      </c>
      <c r="L24" s="418">
        <v>30</v>
      </c>
      <c r="M24" s="418">
        <v>157</v>
      </c>
      <c r="N24" s="418">
        <v>134</v>
      </c>
      <c r="O24" s="159">
        <f t="shared" si="1"/>
        <v>1243.3</v>
      </c>
      <c r="P24" s="161">
        <f t="shared" si="2"/>
        <v>124.33</v>
      </c>
      <c r="Q24" s="162">
        <f t="shared" si="3"/>
        <v>-1.6700000000000046</v>
      </c>
    </row>
    <row r="25" spans="1:17" ht="15">
      <c r="A25" s="149" t="s">
        <v>186</v>
      </c>
      <c r="B25" s="164" t="s">
        <v>187</v>
      </c>
      <c r="C25" s="165">
        <v>198</v>
      </c>
      <c r="D25" s="151">
        <f t="shared" si="0"/>
        <v>1980</v>
      </c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153">
        <f>O26+O41</f>
        <v>1883.8999999999999</v>
      </c>
      <c r="P25" s="154">
        <f t="shared" si="2"/>
        <v>188.39</v>
      </c>
      <c r="Q25" s="155">
        <f t="shared" si="3"/>
        <v>-9.610000000000014</v>
      </c>
    </row>
    <row r="26" spans="1:17" ht="15">
      <c r="A26" s="163"/>
      <c r="B26" s="167" t="s">
        <v>188</v>
      </c>
      <c r="C26" s="168">
        <v>182</v>
      </c>
      <c r="D26" s="159">
        <f aca="true" t="shared" si="4" ref="D26:D46">C26*10</f>
        <v>1820</v>
      </c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169">
        <f>O27+O28+O29+O30+O31+O32+O33+O34+O35+O36+O38+O39+O40</f>
        <v>1760.1</v>
      </c>
      <c r="P26" s="161">
        <f t="shared" si="2"/>
        <v>176.01</v>
      </c>
      <c r="Q26" s="162">
        <f t="shared" si="3"/>
        <v>-5.990000000000009</v>
      </c>
    </row>
    <row r="27" spans="1:17" ht="15">
      <c r="A27" s="163"/>
      <c r="B27" s="170" t="s">
        <v>209</v>
      </c>
      <c r="C27" s="166">
        <v>51</v>
      </c>
      <c r="D27" s="159">
        <f t="shared" si="4"/>
        <v>510</v>
      </c>
      <c r="E27" s="418">
        <v>63</v>
      </c>
      <c r="F27" s="418">
        <v>148</v>
      </c>
      <c r="G27" s="418"/>
      <c r="H27" s="418">
        <v>20</v>
      </c>
      <c r="I27" s="418">
        <v>30</v>
      </c>
      <c r="J27" s="418"/>
      <c r="K27" s="418">
        <v>27</v>
      </c>
      <c r="L27" s="418">
        <v>43</v>
      </c>
      <c r="M27" s="418">
        <v>106</v>
      </c>
      <c r="N27" s="418">
        <v>56.9</v>
      </c>
      <c r="O27" s="159">
        <f t="shared" si="1"/>
        <v>493.9</v>
      </c>
      <c r="P27" s="161">
        <f t="shared" si="2"/>
        <v>49.39</v>
      </c>
      <c r="Q27" s="162">
        <f t="shared" si="3"/>
        <v>-1.6100000000000023</v>
      </c>
    </row>
    <row r="28" spans="1:17" ht="15">
      <c r="A28" s="163"/>
      <c r="B28" s="170" t="s">
        <v>210</v>
      </c>
      <c r="C28" s="166">
        <v>27</v>
      </c>
      <c r="D28" s="159">
        <f t="shared" si="4"/>
        <v>270</v>
      </c>
      <c r="E28" s="418">
        <v>22</v>
      </c>
      <c r="F28" s="418">
        <v>34</v>
      </c>
      <c r="G28" s="418">
        <v>18</v>
      </c>
      <c r="H28" s="418">
        <v>27.1</v>
      </c>
      <c r="I28" s="418">
        <v>51</v>
      </c>
      <c r="J28" s="418"/>
      <c r="K28" s="418">
        <v>10</v>
      </c>
      <c r="L28" s="418">
        <v>40</v>
      </c>
      <c r="M28" s="418">
        <v>20.7</v>
      </c>
      <c r="N28" s="418">
        <v>49</v>
      </c>
      <c r="O28" s="159">
        <f t="shared" si="1"/>
        <v>271.79999999999995</v>
      </c>
      <c r="P28" s="161">
        <f t="shared" si="2"/>
        <v>27.179999999999996</v>
      </c>
      <c r="Q28" s="162">
        <f t="shared" si="3"/>
        <v>0.17999999999999544</v>
      </c>
    </row>
    <row r="29" spans="1:17" ht="15">
      <c r="A29" s="163"/>
      <c r="B29" s="157" t="s">
        <v>211</v>
      </c>
      <c r="C29" s="166">
        <v>21</v>
      </c>
      <c r="D29" s="159">
        <f t="shared" si="4"/>
        <v>210</v>
      </c>
      <c r="E29" s="418">
        <v>21</v>
      </c>
      <c r="F29" s="418">
        <v>43</v>
      </c>
      <c r="G29" s="418"/>
      <c r="H29" s="418">
        <v>32</v>
      </c>
      <c r="I29" s="418">
        <v>25.2</v>
      </c>
      <c r="J29" s="418">
        <v>56</v>
      </c>
      <c r="K29" s="418">
        <v>32</v>
      </c>
      <c r="L29" s="418"/>
      <c r="M29" s="418"/>
      <c r="N29" s="418"/>
      <c r="O29" s="159">
        <f t="shared" si="1"/>
        <v>209.2</v>
      </c>
      <c r="P29" s="161">
        <f t="shared" si="2"/>
        <v>20.919999999999998</v>
      </c>
      <c r="Q29" s="162">
        <f t="shared" si="3"/>
        <v>-0.08000000000000114</v>
      </c>
    </row>
    <row r="30" spans="1:17" ht="15">
      <c r="A30" s="163"/>
      <c r="B30" s="157" t="s">
        <v>212</v>
      </c>
      <c r="C30" s="166">
        <v>28</v>
      </c>
      <c r="D30" s="159">
        <f t="shared" si="4"/>
        <v>280</v>
      </c>
      <c r="E30" s="418">
        <v>33</v>
      </c>
      <c r="F30" s="418">
        <v>14.8</v>
      </c>
      <c r="G30" s="418">
        <v>20</v>
      </c>
      <c r="H30" s="418">
        <v>18.4</v>
      </c>
      <c r="I30" s="418">
        <v>26.6</v>
      </c>
      <c r="J30" s="418">
        <v>14</v>
      </c>
      <c r="K30" s="418">
        <v>22.4</v>
      </c>
      <c r="L30" s="418">
        <v>47</v>
      </c>
      <c r="M30" s="418">
        <v>9.2</v>
      </c>
      <c r="N30" s="418">
        <v>34.6</v>
      </c>
      <c r="O30" s="159">
        <f t="shared" si="1"/>
        <v>239.99999999999997</v>
      </c>
      <c r="P30" s="161">
        <f t="shared" si="2"/>
        <v>23.999999999999996</v>
      </c>
      <c r="Q30" s="162">
        <f t="shared" si="3"/>
        <v>-4.000000000000003</v>
      </c>
    </row>
    <row r="31" spans="1:17" ht="15">
      <c r="A31" s="163"/>
      <c r="B31" s="157" t="s">
        <v>213</v>
      </c>
      <c r="C31" s="166">
        <v>24</v>
      </c>
      <c r="D31" s="159">
        <f t="shared" si="4"/>
        <v>240</v>
      </c>
      <c r="E31" s="418">
        <v>55</v>
      </c>
      <c r="F31" s="418">
        <v>36</v>
      </c>
      <c r="G31" s="418">
        <v>12</v>
      </c>
      <c r="H31" s="418"/>
      <c r="I31" s="418">
        <v>14</v>
      </c>
      <c r="J31" s="418"/>
      <c r="K31" s="418">
        <v>63</v>
      </c>
      <c r="L31" s="418">
        <v>11.5</v>
      </c>
      <c r="M31" s="418"/>
      <c r="N31" s="418">
        <v>43</v>
      </c>
      <c r="O31" s="159">
        <f t="shared" si="1"/>
        <v>234.5</v>
      </c>
      <c r="P31" s="161">
        <f t="shared" si="2"/>
        <v>23.45</v>
      </c>
      <c r="Q31" s="162">
        <f t="shared" si="3"/>
        <v>-0.55</v>
      </c>
    </row>
    <row r="32" spans="1:17" ht="15">
      <c r="A32" s="163"/>
      <c r="B32" s="157" t="s">
        <v>214</v>
      </c>
      <c r="C32" s="166">
        <v>24</v>
      </c>
      <c r="D32" s="159">
        <f t="shared" si="4"/>
        <v>240</v>
      </c>
      <c r="E32" s="418"/>
      <c r="F32" s="418"/>
      <c r="G32" s="418">
        <v>20</v>
      </c>
      <c r="H32" s="418">
        <v>36</v>
      </c>
      <c r="I32" s="418">
        <v>50</v>
      </c>
      <c r="J32" s="418">
        <v>50</v>
      </c>
      <c r="K32" s="418">
        <v>15</v>
      </c>
      <c r="L32" s="418">
        <v>72.7</v>
      </c>
      <c r="M32" s="418"/>
      <c r="N32" s="418"/>
      <c r="O32" s="159">
        <f t="shared" si="1"/>
        <v>243.7</v>
      </c>
      <c r="P32" s="161">
        <f t="shared" si="2"/>
        <v>24.369999999999997</v>
      </c>
      <c r="Q32" s="162">
        <f t="shared" si="3"/>
        <v>0.3699999999999989</v>
      </c>
    </row>
    <row r="33" spans="1:17" ht="15">
      <c r="A33" s="163"/>
      <c r="B33" s="157" t="s">
        <v>215</v>
      </c>
      <c r="C33" s="166">
        <v>0</v>
      </c>
      <c r="D33" s="159">
        <f t="shared" si="4"/>
        <v>0</v>
      </c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159">
        <f t="shared" si="1"/>
        <v>0</v>
      </c>
      <c r="P33" s="161">
        <f t="shared" si="2"/>
        <v>0</v>
      </c>
      <c r="Q33" s="162">
        <f t="shared" si="3"/>
        <v>0</v>
      </c>
    </row>
    <row r="34" spans="1:17" ht="15">
      <c r="A34" s="163"/>
      <c r="B34" s="157" t="s">
        <v>216</v>
      </c>
      <c r="C34" s="166">
        <v>0</v>
      </c>
      <c r="D34" s="159">
        <f t="shared" si="4"/>
        <v>0</v>
      </c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159">
        <f t="shared" si="1"/>
        <v>0</v>
      </c>
      <c r="P34" s="161">
        <f t="shared" si="2"/>
        <v>0</v>
      </c>
      <c r="Q34" s="162">
        <f t="shared" si="3"/>
        <v>0</v>
      </c>
    </row>
    <row r="35" spans="1:17" ht="15">
      <c r="A35" s="163"/>
      <c r="B35" s="157" t="s">
        <v>217</v>
      </c>
      <c r="C35" s="166">
        <v>0</v>
      </c>
      <c r="D35" s="159">
        <f t="shared" si="4"/>
        <v>0</v>
      </c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159">
        <f t="shared" si="1"/>
        <v>0</v>
      </c>
      <c r="P35" s="161">
        <f t="shared" si="2"/>
        <v>0</v>
      </c>
      <c r="Q35" s="162">
        <f t="shared" si="3"/>
        <v>0</v>
      </c>
    </row>
    <row r="36" spans="1:17" ht="15">
      <c r="A36" s="163"/>
      <c r="B36" s="157" t="s">
        <v>218</v>
      </c>
      <c r="C36" s="166">
        <v>0</v>
      </c>
      <c r="D36" s="159">
        <f t="shared" si="4"/>
        <v>0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159">
        <f t="shared" si="1"/>
        <v>0</v>
      </c>
      <c r="P36" s="161">
        <f t="shared" si="2"/>
        <v>0</v>
      </c>
      <c r="Q36" s="162">
        <f t="shared" si="3"/>
        <v>0</v>
      </c>
    </row>
    <row r="37" spans="1:17" ht="15">
      <c r="A37" s="163"/>
      <c r="B37" s="157" t="s">
        <v>219</v>
      </c>
      <c r="C37" s="166">
        <v>2</v>
      </c>
      <c r="D37" s="159">
        <f t="shared" si="4"/>
        <v>20</v>
      </c>
      <c r="E37" s="418">
        <v>2</v>
      </c>
      <c r="F37" s="418">
        <v>2</v>
      </c>
      <c r="G37" s="418">
        <v>2</v>
      </c>
      <c r="H37" s="418">
        <v>2</v>
      </c>
      <c r="I37" s="418">
        <v>2</v>
      </c>
      <c r="J37" s="418">
        <v>2</v>
      </c>
      <c r="K37" s="418">
        <v>2</v>
      </c>
      <c r="L37" s="418">
        <v>2</v>
      </c>
      <c r="M37" s="418">
        <v>2</v>
      </c>
      <c r="N37" s="418">
        <v>2</v>
      </c>
      <c r="O37" s="159">
        <f>SUM(E37:N37)</f>
        <v>20</v>
      </c>
      <c r="P37" s="161">
        <f t="shared" si="2"/>
        <v>2</v>
      </c>
      <c r="Q37" s="162">
        <f t="shared" si="3"/>
        <v>0</v>
      </c>
    </row>
    <row r="38" spans="1:17" ht="15">
      <c r="A38" s="163"/>
      <c r="B38" s="157" t="s">
        <v>220</v>
      </c>
      <c r="C38" s="166">
        <v>3</v>
      </c>
      <c r="D38" s="159">
        <f t="shared" si="4"/>
        <v>30</v>
      </c>
      <c r="E38" s="418"/>
      <c r="F38" s="418">
        <v>10</v>
      </c>
      <c r="G38" s="418"/>
      <c r="H38" s="418"/>
      <c r="I38" s="418"/>
      <c r="J38" s="418"/>
      <c r="K38" s="418">
        <v>17</v>
      </c>
      <c r="L38" s="418"/>
      <c r="M38" s="418"/>
      <c r="N38" s="418">
        <v>10</v>
      </c>
      <c r="O38" s="159">
        <f t="shared" si="1"/>
        <v>37</v>
      </c>
      <c r="P38" s="161">
        <f t="shared" si="2"/>
        <v>3.7</v>
      </c>
      <c r="Q38" s="162">
        <f t="shared" si="3"/>
        <v>0.7</v>
      </c>
    </row>
    <row r="39" spans="1:17" ht="15">
      <c r="A39" s="163"/>
      <c r="B39" s="157" t="s">
        <v>317</v>
      </c>
      <c r="C39" s="166">
        <v>1.5</v>
      </c>
      <c r="D39" s="159">
        <f t="shared" si="4"/>
        <v>15</v>
      </c>
      <c r="E39" s="418">
        <v>1.5</v>
      </c>
      <c r="F39" s="418">
        <v>1.5</v>
      </c>
      <c r="G39" s="418">
        <v>1.5</v>
      </c>
      <c r="H39" s="418">
        <v>1.5</v>
      </c>
      <c r="I39" s="418">
        <v>1.5</v>
      </c>
      <c r="J39" s="418">
        <v>1.5</v>
      </c>
      <c r="K39" s="418">
        <v>1.5</v>
      </c>
      <c r="L39" s="418">
        <v>1.5</v>
      </c>
      <c r="M39" s="418">
        <v>1.5</v>
      </c>
      <c r="N39" s="418">
        <v>1.5</v>
      </c>
      <c r="O39" s="159">
        <f t="shared" si="1"/>
        <v>15</v>
      </c>
      <c r="P39" s="161">
        <f t="shared" si="2"/>
        <v>1.5</v>
      </c>
      <c r="Q39" s="162">
        <f t="shared" si="3"/>
        <v>0</v>
      </c>
    </row>
    <row r="40" spans="1:17" ht="15">
      <c r="A40" s="163"/>
      <c r="B40" s="157" t="s">
        <v>318</v>
      </c>
      <c r="C40" s="166">
        <v>1.5</v>
      </c>
      <c r="D40" s="159">
        <f t="shared" si="4"/>
        <v>15</v>
      </c>
      <c r="E40" s="418">
        <v>1.5</v>
      </c>
      <c r="F40" s="418">
        <v>1.5</v>
      </c>
      <c r="G40" s="418">
        <v>1.5</v>
      </c>
      <c r="H40" s="418">
        <v>1.5</v>
      </c>
      <c r="I40" s="418">
        <v>1.5</v>
      </c>
      <c r="J40" s="418">
        <v>1.5</v>
      </c>
      <c r="K40" s="418">
        <v>1.5</v>
      </c>
      <c r="L40" s="418">
        <v>1.5</v>
      </c>
      <c r="M40" s="418">
        <v>1.5</v>
      </c>
      <c r="N40" s="418">
        <v>1.5</v>
      </c>
      <c r="O40" s="159">
        <f t="shared" si="1"/>
        <v>15</v>
      </c>
      <c r="P40" s="161">
        <f t="shared" si="2"/>
        <v>1.5</v>
      </c>
      <c r="Q40" s="162">
        <f t="shared" si="3"/>
        <v>0</v>
      </c>
    </row>
    <row r="41" spans="1:17" ht="15">
      <c r="A41" s="163"/>
      <c r="B41" s="171" t="s">
        <v>189</v>
      </c>
      <c r="C41" s="172">
        <v>16</v>
      </c>
      <c r="D41" s="151">
        <f t="shared" si="4"/>
        <v>160</v>
      </c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153">
        <f>O42+O43+O44+O45+O46</f>
        <v>123.8</v>
      </c>
      <c r="P41" s="154">
        <f t="shared" si="2"/>
        <v>12.379999999999999</v>
      </c>
      <c r="Q41" s="155">
        <f t="shared" si="3"/>
        <v>-3.62</v>
      </c>
    </row>
    <row r="42" spans="1:17" ht="15">
      <c r="A42" s="163"/>
      <c r="B42" s="170" t="s">
        <v>224</v>
      </c>
      <c r="C42" s="166">
        <v>1</v>
      </c>
      <c r="D42" s="159">
        <f t="shared" si="4"/>
        <v>10</v>
      </c>
      <c r="E42" s="418"/>
      <c r="F42" s="418"/>
      <c r="G42" s="418"/>
      <c r="H42" s="418">
        <v>12</v>
      </c>
      <c r="I42" s="418"/>
      <c r="J42" s="418"/>
      <c r="K42" s="418"/>
      <c r="L42" s="418"/>
      <c r="M42" s="418"/>
      <c r="N42" s="418"/>
      <c r="O42" s="159">
        <f t="shared" si="1"/>
        <v>12</v>
      </c>
      <c r="P42" s="161">
        <f t="shared" si="2"/>
        <v>1.2</v>
      </c>
      <c r="Q42" s="162">
        <f t="shared" si="3"/>
        <v>0.2</v>
      </c>
    </row>
    <row r="43" spans="1:17" ht="15">
      <c r="A43" s="163"/>
      <c r="B43" s="157" t="s">
        <v>223</v>
      </c>
      <c r="C43" s="166">
        <v>4</v>
      </c>
      <c r="D43" s="159">
        <f t="shared" si="4"/>
        <v>40</v>
      </c>
      <c r="E43" s="418"/>
      <c r="F43" s="418"/>
      <c r="G43" s="418"/>
      <c r="H43" s="418"/>
      <c r="I43" s="418">
        <v>15</v>
      </c>
      <c r="J43" s="418"/>
      <c r="K43" s="418"/>
      <c r="L43" s="418">
        <v>14</v>
      </c>
      <c r="M43" s="418"/>
      <c r="N43" s="418">
        <v>10</v>
      </c>
      <c r="O43" s="159">
        <f t="shared" si="1"/>
        <v>39</v>
      </c>
      <c r="P43" s="161">
        <f t="shared" si="2"/>
        <v>3.9</v>
      </c>
      <c r="Q43" s="162">
        <f t="shared" si="3"/>
        <v>-0.1</v>
      </c>
    </row>
    <row r="44" spans="1:17" ht="15">
      <c r="A44" s="163"/>
      <c r="B44" s="157" t="s">
        <v>222</v>
      </c>
      <c r="C44" s="166">
        <v>4</v>
      </c>
      <c r="D44" s="159">
        <f t="shared" si="4"/>
        <v>40</v>
      </c>
      <c r="E44" s="418"/>
      <c r="F44" s="418"/>
      <c r="G44" s="418"/>
      <c r="H44" s="418"/>
      <c r="I44" s="418"/>
      <c r="J44" s="418"/>
      <c r="K44" s="418"/>
      <c r="L44" s="418"/>
      <c r="M44" s="418">
        <v>12</v>
      </c>
      <c r="N44" s="418"/>
      <c r="O44" s="159">
        <f t="shared" si="1"/>
        <v>12</v>
      </c>
      <c r="P44" s="161">
        <f t="shared" si="2"/>
        <v>1.2</v>
      </c>
      <c r="Q44" s="162">
        <f t="shared" si="3"/>
        <v>-2.8</v>
      </c>
    </row>
    <row r="45" spans="1:17" ht="15">
      <c r="A45" s="163"/>
      <c r="B45" s="157" t="s">
        <v>221</v>
      </c>
      <c r="C45" s="166">
        <v>2</v>
      </c>
      <c r="D45" s="159">
        <f t="shared" si="4"/>
        <v>20</v>
      </c>
      <c r="E45" s="418">
        <v>10.8</v>
      </c>
      <c r="F45" s="418"/>
      <c r="G45" s="418"/>
      <c r="H45" s="418"/>
      <c r="I45" s="418"/>
      <c r="J45" s="418"/>
      <c r="K45" s="418"/>
      <c r="L45" s="418"/>
      <c r="M45" s="418"/>
      <c r="N45" s="418"/>
      <c r="O45" s="159">
        <f t="shared" si="1"/>
        <v>10.8</v>
      </c>
      <c r="P45" s="161">
        <f t="shared" si="2"/>
        <v>1.08</v>
      </c>
      <c r="Q45" s="162">
        <f t="shared" si="3"/>
        <v>-0.9199999999999999</v>
      </c>
    </row>
    <row r="46" spans="1:17" ht="15">
      <c r="A46" s="163"/>
      <c r="B46" s="157" t="s">
        <v>319</v>
      </c>
      <c r="C46" s="166">
        <v>5</v>
      </c>
      <c r="D46" s="159">
        <f t="shared" si="4"/>
        <v>50</v>
      </c>
      <c r="E46" s="418"/>
      <c r="F46" s="418"/>
      <c r="G46" s="418">
        <v>50</v>
      </c>
      <c r="H46" s="418"/>
      <c r="I46" s="418"/>
      <c r="J46" s="418"/>
      <c r="K46" s="418"/>
      <c r="L46" s="418"/>
      <c r="M46" s="418"/>
      <c r="N46" s="418"/>
      <c r="O46" s="159">
        <f t="shared" si="1"/>
        <v>50</v>
      </c>
      <c r="P46" s="161">
        <f t="shared" si="2"/>
        <v>5</v>
      </c>
      <c r="Q46" s="162">
        <f t="shared" si="3"/>
        <v>0</v>
      </c>
    </row>
    <row r="47" spans="1:17" ht="15">
      <c r="A47" s="149" t="s">
        <v>225</v>
      </c>
      <c r="B47" s="164" t="s">
        <v>226</v>
      </c>
      <c r="C47" s="149">
        <v>90</v>
      </c>
      <c r="D47" s="151">
        <f aca="true" t="shared" si="5" ref="D47:D87">C47*10</f>
        <v>900</v>
      </c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153">
        <f>O48</f>
        <v>728.4</v>
      </c>
      <c r="P47" s="154">
        <f aca="true" t="shared" si="6" ref="P47:P88">O47/10</f>
        <v>72.84</v>
      </c>
      <c r="Q47" s="155">
        <f aca="true" t="shared" si="7" ref="Q47:Q88">(O47-D47)/10</f>
        <v>-17.160000000000004</v>
      </c>
    </row>
    <row r="48" spans="1:17" ht="15">
      <c r="A48" s="158"/>
      <c r="B48" s="167" t="s">
        <v>227</v>
      </c>
      <c r="C48" s="168">
        <v>90</v>
      </c>
      <c r="D48" s="159">
        <f t="shared" si="5"/>
        <v>900</v>
      </c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174">
        <f>O49+O50+O51+O52+O53+O54+O55</f>
        <v>728.4</v>
      </c>
      <c r="P48" s="161">
        <f t="shared" si="6"/>
        <v>72.84</v>
      </c>
      <c r="Q48" s="162">
        <f t="shared" si="7"/>
        <v>-17.160000000000004</v>
      </c>
    </row>
    <row r="49" spans="1:17" ht="15">
      <c r="A49" s="158"/>
      <c r="B49" s="157" t="s">
        <v>228</v>
      </c>
      <c r="C49" s="166">
        <v>31</v>
      </c>
      <c r="D49" s="159">
        <f t="shared" si="5"/>
        <v>310</v>
      </c>
      <c r="E49" s="418"/>
      <c r="F49" s="418"/>
      <c r="G49" s="418">
        <v>112</v>
      </c>
      <c r="H49" s="418"/>
      <c r="I49" s="418">
        <v>51</v>
      </c>
      <c r="J49" s="418"/>
      <c r="K49" s="418">
        <v>35</v>
      </c>
      <c r="L49" s="418"/>
      <c r="M49" s="418">
        <v>44</v>
      </c>
      <c r="N49" s="418"/>
      <c r="O49" s="159">
        <f aca="true" t="shared" si="8" ref="O49:O78">SUM(E49:N49)</f>
        <v>242</v>
      </c>
      <c r="P49" s="161">
        <f t="shared" si="6"/>
        <v>24.2</v>
      </c>
      <c r="Q49" s="162">
        <f t="shared" si="7"/>
        <v>-6.8</v>
      </c>
    </row>
    <row r="50" spans="1:17" ht="15">
      <c r="A50" s="158"/>
      <c r="B50" s="157" t="s">
        <v>229</v>
      </c>
      <c r="C50" s="166">
        <v>24</v>
      </c>
      <c r="D50" s="159">
        <f t="shared" si="5"/>
        <v>240</v>
      </c>
      <c r="E50" s="418">
        <v>40</v>
      </c>
      <c r="F50" s="418"/>
      <c r="G50" s="418">
        <v>44</v>
      </c>
      <c r="H50" s="418"/>
      <c r="I50" s="418"/>
      <c r="J50" s="418"/>
      <c r="K50" s="418">
        <v>50</v>
      </c>
      <c r="L50" s="418"/>
      <c r="M50" s="418"/>
      <c r="N50" s="418">
        <v>50</v>
      </c>
      <c r="O50" s="159">
        <f t="shared" si="8"/>
        <v>184</v>
      </c>
      <c r="P50" s="161">
        <f t="shared" si="6"/>
        <v>18.4</v>
      </c>
      <c r="Q50" s="162">
        <f t="shared" si="7"/>
        <v>-5.6</v>
      </c>
    </row>
    <row r="51" spans="1:17" ht="15">
      <c r="A51" s="156"/>
      <c r="B51" s="157" t="s">
        <v>230</v>
      </c>
      <c r="C51" s="166">
        <v>20</v>
      </c>
      <c r="D51" s="159">
        <f t="shared" si="5"/>
        <v>200</v>
      </c>
      <c r="E51" s="418"/>
      <c r="F51" s="418">
        <v>100</v>
      </c>
      <c r="G51" s="418">
        <v>29</v>
      </c>
      <c r="H51" s="418"/>
      <c r="I51" s="418"/>
      <c r="J51" s="418"/>
      <c r="K51" s="418">
        <v>33</v>
      </c>
      <c r="L51" s="418"/>
      <c r="M51" s="418">
        <v>29</v>
      </c>
      <c r="N51" s="418"/>
      <c r="O51" s="159">
        <f t="shared" si="8"/>
        <v>191</v>
      </c>
      <c r="P51" s="161">
        <f t="shared" si="6"/>
        <v>19.1</v>
      </c>
      <c r="Q51" s="162">
        <f t="shared" si="7"/>
        <v>-0.9</v>
      </c>
    </row>
    <row r="52" spans="1:17" ht="15">
      <c r="A52" s="158"/>
      <c r="B52" s="157" t="s">
        <v>231</v>
      </c>
      <c r="C52" s="166">
        <v>10</v>
      </c>
      <c r="D52" s="159">
        <f t="shared" si="5"/>
        <v>100</v>
      </c>
      <c r="E52" s="418"/>
      <c r="F52" s="418"/>
      <c r="G52" s="418">
        <v>24</v>
      </c>
      <c r="H52" s="418"/>
      <c r="I52" s="418"/>
      <c r="J52" s="418"/>
      <c r="K52" s="418">
        <v>27</v>
      </c>
      <c r="L52" s="418"/>
      <c r="M52" s="418">
        <v>24</v>
      </c>
      <c r="N52" s="418">
        <v>10</v>
      </c>
      <c r="O52" s="159">
        <f t="shared" si="8"/>
        <v>85</v>
      </c>
      <c r="P52" s="161">
        <f t="shared" si="6"/>
        <v>8.5</v>
      </c>
      <c r="Q52" s="162">
        <f t="shared" si="7"/>
        <v>-1.5</v>
      </c>
    </row>
    <row r="53" spans="1:17" ht="15">
      <c r="A53" s="158"/>
      <c r="B53" s="157" t="s">
        <v>232</v>
      </c>
      <c r="C53" s="166">
        <v>0</v>
      </c>
      <c r="D53" s="159">
        <f t="shared" si="5"/>
        <v>0</v>
      </c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159">
        <f t="shared" si="8"/>
        <v>0</v>
      </c>
      <c r="P53" s="161">
        <f t="shared" si="6"/>
        <v>0</v>
      </c>
      <c r="Q53" s="162">
        <f t="shared" si="7"/>
        <v>0</v>
      </c>
    </row>
    <row r="54" spans="1:17" ht="15">
      <c r="A54" s="158"/>
      <c r="B54" s="157" t="s">
        <v>233</v>
      </c>
      <c r="C54" s="166">
        <v>5</v>
      </c>
      <c r="D54" s="159">
        <f t="shared" si="5"/>
        <v>50</v>
      </c>
      <c r="E54" s="418"/>
      <c r="F54" s="418"/>
      <c r="G54" s="418">
        <v>19.4</v>
      </c>
      <c r="H54" s="418"/>
      <c r="I54" s="418"/>
      <c r="J54" s="418"/>
      <c r="K54" s="418">
        <v>7</v>
      </c>
      <c r="L54" s="418"/>
      <c r="M54" s="418"/>
      <c r="N54" s="418"/>
      <c r="O54" s="159">
        <f t="shared" si="8"/>
        <v>26.4</v>
      </c>
      <c r="P54" s="161">
        <f t="shared" si="6"/>
        <v>2.6399999999999997</v>
      </c>
      <c r="Q54" s="162">
        <f t="shared" si="7"/>
        <v>-2.3600000000000003</v>
      </c>
    </row>
    <row r="55" spans="1:17" ht="30">
      <c r="A55" s="158"/>
      <c r="B55" s="157" t="s">
        <v>234</v>
      </c>
      <c r="C55" s="166">
        <v>0</v>
      </c>
      <c r="D55" s="159">
        <f t="shared" si="5"/>
        <v>0</v>
      </c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159">
        <f t="shared" si="8"/>
        <v>0</v>
      </c>
      <c r="P55" s="161">
        <f t="shared" si="6"/>
        <v>0</v>
      </c>
      <c r="Q55" s="162">
        <f t="shared" si="7"/>
        <v>0</v>
      </c>
    </row>
    <row r="56" spans="1:17" ht="15">
      <c r="A56" s="149" t="s">
        <v>235</v>
      </c>
      <c r="B56" s="164" t="s">
        <v>236</v>
      </c>
      <c r="C56" s="165">
        <v>10</v>
      </c>
      <c r="D56" s="151">
        <f t="shared" si="5"/>
        <v>100</v>
      </c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153">
        <f>O57+O58+O59+O60+O61</f>
        <v>94.3</v>
      </c>
      <c r="P56" s="154">
        <f t="shared" si="6"/>
        <v>9.43</v>
      </c>
      <c r="Q56" s="155">
        <f t="shared" si="7"/>
        <v>-0.5700000000000003</v>
      </c>
    </row>
    <row r="57" spans="1:17" ht="15">
      <c r="A57" s="163"/>
      <c r="B57" s="157" t="s">
        <v>237</v>
      </c>
      <c r="C57" s="166">
        <v>3.9</v>
      </c>
      <c r="D57" s="159">
        <f t="shared" si="5"/>
        <v>39</v>
      </c>
      <c r="E57" s="418"/>
      <c r="F57" s="418">
        <v>18</v>
      </c>
      <c r="G57" s="418"/>
      <c r="H57" s="418"/>
      <c r="I57" s="418"/>
      <c r="J57" s="418"/>
      <c r="K57" s="418"/>
      <c r="L57" s="418"/>
      <c r="M57" s="418">
        <v>20</v>
      </c>
      <c r="N57" s="418"/>
      <c r="O57" s="159">
        <f t="shared" si="8"/>
        <v>38</v>
      </c>
      <c r="P57" s="161">
        <f t="shared" si="6"/>
        <v>3.8</v>
      </c>
      <c r="Q57" s="162">
        <f t="shared" si="7"/>
        <v>-0.1</v>
      </c>
    </row>
    <row r="58" spans="1:17" ht="15">
      <c r="A58" s="163"/>
      <c r="B58" s="157" t="s">
        <v>238</v>
      </c>
      <c r="C58" s="166">
        <v>2</v>
      </c>
      <c r="D58" s="159">
        <f t="shared" si="5"/>
        <v>20</v>
      </c>
      <c r="E58" s="418"/>
      <c r="F58" s="418"/>
      <c r="G58" s="418"/>
      <c r="H58" s="418"/>
      <c r="I58" s="418"/>
      <c r="J58" s="418">
        <v>18</v>
      </c>
      <c r="K58" s="418"/>
      <c r="L58" s="418"/>
      <c r="M58" s="418"/>
      <c r="N58" s="418"/>
      <c r="O58" s="159">
        <f t="shared" si="8"/>
        <v>18</v>
      </c>
      <c r="P58" s="161">
        <f t="shared" si="6"/>
        <v>1.8</v>
      </c>
      <c r="Q58" s="162">
        <f t="shared" si="7"/>
        <v>-0.2</v>
      </c>
    </row>
    <row r="59" spans="1:17" ht="15">
      <c r="A59" s="163"/>
      <c r="B59" s="157" t="s">
        <v>239</v>
      </c>
      <c r="C59" s="166">
        <v>1</v>
      </c>
      <c r="D59" s="159">
        <f t="shared" si="5"/>
        <v>10</v>
      </c>
      <c r="E59" s="418"/>
      <c r="F59" s="418"/>
      <c r="G59" s="418"/>
      <c r="H59" s="418"/>
      <c r="I59" s="418"/>
      <c r="J59" s="418"/>
      <c r="K59" s="418"/>
      <c r="L59" s="418">
        <v>4</v>
      </c>
      <c r="M59" s="418"/>
      <c r="N59" s="418"/>
      <c r="O59" s="159">
        <f t="shared" si="8"/>
        <v>4</v>
      </c>
      <c r="P59" s="161">
        <f t="shared" si="6"/>
        <v>0.4</v>
      </c>
      <c r="Q59" s="162">
        <f t="shared" si="7"/>
        <v>-0.6</v>
      </c>
    </row>
    <row r="60" spans="1:17" ht="15">
      <c r="A60" s="163"/>
      <c r="B60" s="157" t="s">
        <v>240</v>
      </c>
      <c r="C60" s="166">
        <v>2.8</v>
      </c>
      <c r="D60" s="159">
        <f t="shared" si="5"/>
        <v>28</v>
      </c>
      <c r="E60" s="418">
        <v>5</v>
      </c>
      <c r="F60" s="418"/>
      <c r="G60" s="418"/>
      <c r="H60" s="418"/>
      <c r="I60" s="418">
        <v>4.5</v>
      </c>
      <c r="J60" s="418"/>
      <c r="K60" s="418"/>
      <c r="L60" s="418">
        <v>19</v>
      </c>
      <c r="M60" s="418"/>
      <c r="N60" s="418"/>
      <c r="O60" s="159">
        <f t="shared" si="8"/>
        <v>28.5</v>
      </c>
      <c r="P60" s="161">
        <f t="shared" si="6"/>
        <v>2.85</v>
      </c>
      <c r="Q60" s="162">
        <f t="shared" si="7"/>
        <v>0.05</v>
      </c>
    </row>
    <row r="61" spans="1:17" ht="15">
      <c r="A61" s="163"/>
      <c r="B61" s="157" t="s">
        <v>241</v>
      </c>
      <c r="C61" s="166">
        <v>0.3</v>
      </c>
      <c r="D61" s="159">
        <f t="shared" si="5"/>
        <v>3</v>
      </c>
      <c r="E61" s="418"/>
      <c r="F61" s="418">
        <v>5.8</v>
      </c>
      <c r="G61" s="418"/>
      <c r="H61" s="418"/>
      <c r="I61" s="418"/>
      <c r="J61" s="418"/>
      <c r="K61" s="418"/>
      <c r="L61" s="418"/>
      <c r="M61" s="418"/>
      <c r="N61" s="418"/>
      <c r="O61" s="159">
        <f t="shared" si="8"/>
        <v>5.8</v>
      </c>
      <c r="P61" s="161">
        <f t="shared" si="6"/>
        <v>0.58</v>
      </c>
      <c r="Q61" s="162">
        <f t="shared" si="7"/>
        <v>0.27999999999999997</v>
      </c>
    </row>
    <row r="62" spans="1:17" ht="30">
      <c r="A62" s="149" t="s">
        <v>242</v>
      </c>
      <c r="B62" s="164" t="s">
        <v>243</v>
      </c>
      <c r="C62" s="149">
        <v>90</v>
      </c>
      <c r="D62" s="151">
        <f t="shared" si="5"/>
        <v>900</v>
      </c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153">
        <f>O64</f>
        <v>882</v>
      </c>
      <c r="P62" s="154">
        <f t="shared" si="6"/>
        <v>88.2</v>
      </c>
      <c r="Q62" s="155">
        <v>0</v>
      </c>
    </row>
    <row r="63" spans="1:17" ht="15">
      <c r="A63" s="163"/>
      <c r="B63" s="170" t="s">
        <v>244</v>
      </c>
      <c r="C63" s="158">
        <v>0</v>
      </c>
      <c r="D63" s="159">
        <f t="shared" si="5"/>
        <v>0</v>
      </c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159">
        <f t="shared" si="8"/>
        <v>0</v>
      </c>
      <c r="P63" s="161">
        <f t="shared" si="6"/>
        <v>0</v>
      </c>
      <c r="Q63" s="162">
        <f t="shared" si="7"/>
        <v>0</v>
      </c>
    </row>
    <row r="64" spans="1:17" ht="15">
      <c r="A64" s="163"/>
      <c r="B64" s="157" t="s">
        <v>245</v>
      </c>
      <c r="C64" s="158">
        <v>90</v>
      </c>
      <c r="D64" s="159">
        <f t="shared" si="5"/>
        <v>900</v>
      </c>
      <c r="E64" s="418">
        <v>30</v>
      </c>
      <c r="F64" s="418">
        <v>26</v>
      </c>
      <c r="G64" s="418"/>
      <c r="H64" s="418">
        <v>80</v>
      </c>
      <c r="I64" s="418">
        <v>261</v>
      </c>
      <c r="J64" s="418">
        <v>4</v>
      </c>
      <c r="K64" s="418">
        <v>39</v>
      </c>
      <c r="L64" s="418">
        <v>212</v>
      </c>
      <c r="M64" s="418">
        <v>230</v>
      </c>
      <c r="N64" s="418"/>
      <c r="O64" s="159">
        <f t="shared" si="8"/>
        <v>882</v>
      </c>
      <c r="P64" s="161">
        <f t="shared" si="6"/>
        <v>88.2</v>
      </c>
      <c r="Q64" s="162">
        <f t="shared" si="7"/>
        <v>-1.8</v>
      </c>
    </row>
    <row r="65" spans="1:17" ht="15">
      <c r="A65" s="149" t="s">
        <v>246</v>
      </c>
      <c r="B65" s="175" t="s">
        <v>247</v>
      </c>
      <c r="C65" s="165">
        <v>45</v>
      </c>
      <c r="D65" s="151">
        <f t="shared" si="5"/>
        <v>450</v>
      </c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153">
        <f>O66+O67</f>
        <v>443.7</v>
      </c>
      <c r="P65" s="154">
        <f t="shared" si="6"/>
        <v>44.37</v>
      </c>
      <c r="Q65" s="155">
        <f t="shared" si="7"/>
        <v>-0.6300000000000011</v>
      </c>
    </row>
    <row r="66" spans="1:17" ht="15">
      <c r="A66" s="163"/>
      <c r="B66" s="157" t="s">
        <v>248</v>
      </c>
      <c r="C66" s="166">
        <v>42</v>
      </c>
      <c r="D66" s="159">
        <f t="shared" si="5"/>
        <v>420</v>
      </c>
      <c r="E66" s="418">
        <v>42</v>
      </c>
      <c r="F66" s="418">
        <v>42</v>
      </c>
      <c r="G66" s="418">
        <v>43</v>
      </c>
      <c r="H66" s="418">
        <v>42</v>
      </c>
      <c r="I66" s="418">
        <v>42</v>
      </c>
      <c r="J66" s="418">
        <v>42</v>
      </c>
      <c r="K66" s="418">
        <v>37</v>
      </c>
      <c r="L66" s="418">
        <v>42</v>
      </c>
      <c r="M66" s="418">
        <v>42</v>
      </c>
      <c r="N66" s="418">
        <v>36</v>
      </c>
      <c r="O66" s="159">
        <f t="shared" si="8"/>
        <v>410</v>
      </c>
      <c r="P66" s="161">
        <f t="shared" si="6"/>
        <v>41</v>
      </c>
      <c r="Q66" s="162">
        <f t="shared" si="7"/>
        <v>-1</v>
      </c>
    </row>
    <row r="67" spans="1:17" ht="15">
      <c r="A67" s="163"/>
      <c r="B67" s="157" t="s">
        <v>249</v>
      </c>
      <c r="C67" s="166">
        <v>3</v>
      </c>
      <c r="D67" s="159">
        <f t="shared" si="5"/>
        <v>30</v>
      </c>
      <c r="E67" s="418">
        <v>8</v>
      </c>
      <c r="F67" s="418"/>
      <c r="G67" s="418">
        <v>4.5</v>
      </c>
      <c r="H67" s="418"/>
      <c r="I67" s="418">
        <v>8</v>
      </c>
      <c r="J67" s="418"/>
      <c r="K67" s="418">
        <v>3</v>
      </c>
      <c r="L67" s="418">
        <v>5.2</v>
      </c>
      <c r="M67" s="418"/>
      <c r="N67" s="418">
        <v>5</v>
      </c>
      <c r="O67" s="159">
        <f t="shared" si="8"/>
        <v>33.7</v>
      </c>
      <c r="P67" s="161">
        <f t="shared" si="6"/>
        <v>3.37</v>
      </c>
      <c r="Q67" s="162">
        <f t="shared" si="7"/>
        <v>0.3700000000000003</v>
      </c>
    </row>
    <row r="68" spans="1:17" ht="15">
      <c r="A68" s="149" t="s">
        <v>250</v>
      </c>
      <c r="B68" s="164" t="s">
        <v>251</v>
      </c>
      <c r="C68" s="165">
        <v>72</v>
      </c>
      <c r="D68" s="151">
        <f t="shared" si="5"/>
        <v>720</v>
      </c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153">
        <f>O69+O70</f>
        <v>723</v>
      </c>
      <c r="P68" s="154">
        <f t="shared" si="6"/>
        <v>72.3</v>
      </c>
      <c r="Q68" s="155">
        <f t="shared" si="7"/>
        <v>0.3</v>
      </c>
    </row>
    <row r="69" spans="1:17" ht="15">
      <c r="A69" s="163"/>
      <c r="B69" s="157" t="s">
        <v>252</v>
      </c>
      <c r="C69" s="166">
        <v>42</v>
      </c>
      <c r="D69" s="159">
        <f t="shared" si="5"/>
        <v>420</v>
      </c>
      <c r="E69" s="418">
        <v>42</v>
      </c>
      <c r="F69" s="418">
        <v>42</v>
      </c>
      <c r="G69" s="418">
        <v>42</v>
      </c>
      <c r="H69" s="418">
        <v>34</v>
      </c>
      <c r="I69" s="418">
        <v>40</v>
      </c>
      <c r="J69" s="418">
        <v>52</v>
      </c>
      <c r="K69" s="418">
        <v>43</v>
      </c>
      <c r="L69" s="418">
        <v>42</v>
      </c>
      <c r="M69" s="418">
        <v>42</v>
      </c>
      <c r="N69" s="418">
        <v>42</v>
      </c>
      <c r="O69" s="159">
        <f t="shared" si="8"/>
        <v>421</v>
      </c>
      <c r="P69" s="161">
        <f t="shared" si="6"/>
        <v>42.1</v>
      </c>
      <c r="Q69" s="162">
        <f t="shared" si="7"/>
        <v>0.1</v>
      </c>
    </row>
    <row r="70" spans="1:17" ht="15">
      <c r="A70" s="163"/>
      <c r="B70" s="157" t="s">
        <v>253</v>
      </c>
      <c r="C70" s="166">
        <v>30</v>
      </c>
      <c r="D70" s="159">
        <f t="shared" si="5"/>
        <v>300</v>
      </c>
      <c r="E70" s="418">
        <v>30</v>
      </c>
      <c r="F70" s="418">
        <v>30</v>
      </c>
      <c r="G70" s="418">
        <v>32</v>
      </c>
      <c r="H70" s="418">
        <v>30</v>
      </c>
      <c r="I70" s="418">
        <v>30</v>
      </c>
      <c r="J70" s="418">
        <v>30</v>
      </c>
      <c r="K70" s="418">
        <v>30</v>
      </c>
      <c r="L70" s="418">
        <v>30</v>
      </c>
      <c r="M70" s="418">
        <v>30</v>
      </c>
      <c r="N70" s="418">
        <v>30</v>
      </c>
      <c r="O70" s="159">
        <f t="shared" si="8"/>
        <v>302</v>
      </c>
      <c r="P70" s="161">
        <f t="shared" si="6"/>
        <v>30.2</v>
      </c>
      <c r="Q70" s="162">
        <f t="shared" si="7"/>
        <v>0.2</v>
      </c>
    </row>
    <row r="71" spans="1:17" ht="15">
      <c r="A71" s="149" t="s">
        <v>254</v>
      </c>
      <c r="B71" s="164" t="s">
        <v>255</v>
      </c>
      <c r="C71" s="165">
        <v>39</v>
      </c>
      <c r="D71" s="151">
        <f t="shared" si="5"/>
        <v>390</v>
      </c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153">
        <f>SUM(O72:O81)</f>
        <v>329.5</v>
      </c>
      <c r="P71" s="154">
        <f t="shared" si="6"/>
        <v>32.95</v>
      </c>
      <c r="Q71" s="155">
        <f t="shared" si="7"/>
        <v>-6.05</v>
      </c>
    </row>
    <row r="72" spans="1:17" ht="15">
      <c r="A72" s="163"/>
      <c r="B72" s="157" t="s">
        <v>256</v>
      </c>
      <c r="C72" s="166">
        <v>7</v>
      </c>
      <c r="D72" s="159">
        <f t="shared" si="5"/>
        <v>70</v>
      </c>
      <c r="E72" s="418"/>
      <c r="F72" s="418">
        <v>12</v>
      </c>
      <c r="G72" s="418"/>
      <c r="H72" s="418"/>
      <c r="I72" s="418">
        <v>8</v>
      </c>
      <c r="J72" s="418">
        <v>16</v>
      </c>
      <c r="K72" s="418"/>
      <c r="L72" s="418">
        <v>7.8</v>
      </c>
      <c r="M72" s="418"/>
      <c r="N72" s="418"/>
      <c r="O72" s="159">
        <f t="shared" si="8"/>
        <v>43.8</v>
      </c>
      <c r="P72" s="161">
        <f t="shared" si="6"/>
        <v>4.38</v>
      </c>
      <c r="Q72" s="162">
        <f t="shared" si="7"/>
        <v>-2.62</v>
      </c>
    </row>
    <row r="73" spans="1:17" ht="15">
      <c r="A73" s="163"/>
      <c r="B73" s="157" t="s">
        <v>257</v>
      </c>
      <c r="C73" s="166">
        <v>3</v>
      </c>
      <c r="D73" s="159">
        <f t="shared" si="5"/>
        <v>30</v>
      </c>
      <c r="E73" s="418">
        <v>12</v>
      </c>
      <c r="F73" s="418"/>
      <c r="G73" s="418"/>
      <c r="H73" s="418"/>
      <c r="I73" s="418"/>
      <c r="J73" s="418"/>
      <c r="K73" s="418"/>
      <c r="L73" s="418"/>
      <c r="M73" s="418"/>
      <c r="N73" s="418">
        <v>14.4</v>
      </c>
      <c r="O73" s="159">
        <f t="shared" si="8"/>
        <v>26.4</v>
      </c>
      <c r="P73" s="161">
        <f t="shared" si="6"/>
        <v>2.6399999999999997</v>
      </c>
      <c r="Q73" s="162">
        <f t="shared" si="7"/>
        <v>-0.36000000000000015</v>
      </c>
    </row>
    <row r="74" spans="1:17" ht="15">
      <c r="A74" s="163"/>
      <c r="B74" s="157" t="s">
        <v>258</v>
      </c>
      <c r="C74" s="166">
        <v>2.5</v>
      </c>
      <c r="D74" s="159">
        <f t="shared" si="5"/>
        <v>25</v>
      </c>
      <c r="E74" s="418"/>
      <c r="F74" s="418"/>
      <c r="G74" s="418">
        <v>14.4</v>
      </c>
      <c r="H74" s="418"/>
      <c r="I74" s="418"/>
      <c r="J74" s="418"/>
      <c r="K74" s="418"/>
      <c r="L74" s="418"/>
      <c r="M74" s="418"/>
      <c r="N74" s="418"/>
      <c r="O74" s="159">
        <f t="shared" si="8"/>
        <v>14.4</v>
      </c>
      <c r="P74" s="161">
        <f t="shared" si="6"/>
        <v>1.44</v>
      </c>
      <c r="Q74" s="162">
        <f t="shared" si="7"/>
        <v>-1.06</v>
      </c>
    </row>
    <row r="75" spans="1:17" ht="15">
      <c r="A75" s="163"/>
      <c r="B75" s="157" t="s">
        <v>259</v>
      </c>
      <c r="C75" s="166">
        <v>3</v>
      </c>
      <c r="D75" s="159">
        <f t="shared" si="5"/>
        <v>30</v>
      </c>
      <c r="E75" s="418"/>
      <c r="F75" s="418"/>
      <c r="G75" s="418"/>
      <c r="H75" s="418">
        <v>14.4</v>
      </c>
      <c r="I75" s="418">
        <v>3.6</v>
      </c>
      <c r="J75" s="418"/>
      <c r="K75" s="418"/>
      <c r="L75" s="418"/>
      <c r="M75" s="418"/>
      <c r="N75" s="418"/>
      <c r="O75" s="159">
        <f t="shared" si="8"/>
        <v>18</v>
      </c>
      <c r="P75" s="161">
        <f t="shared" si="6"/>
        <v>1.8</v>
      </c>
      <c r="Q75" s="162">
        <f t="shared" si="7"/>
        <v>-1.2</v>
      </c>
    </row>
    <row r="76" spans="1:17" ht="15">
      <c r="A76" s="163"/>
      <c r="B76" s="157" t="s">
        <v>260</v>
      </c>
      <c r="C76" s="166">
        <v>8</v>
      </c>
      <c r="D76" s="159">
        <f t="shared" si="5"/>
        <v>80</v>
      </c>
      <c r="E76" s="418"/>
      <c r="F76" s="418"/>
      <c r="G76" s="418"/>
      <c r="H76" s="418">
        <v>36.5</v>
      </c>
      <c r="I76" s="418"/>
      <c r="J76" s="418"/>
      <c r="K76" s="418">
        <v>14.4</v>
      </c>
      <c r="L76" s="418"/>
      <c r="M76" s="418"/>
      <c r="N76" s="418">
        <v>31.6</v>
      </c>
      <c r="O76" s="159">
        <f t="shared" si="8"/>
        <v>82.5</v>
      </c>
      <c r="P76" s="161">
        <f t="shared" si="6"/>
        <v>8.25</v>
      </c>
      <c r="Q76" s="162">
        <f t="shared" si="7"/>
        <v>0.25</v>
      </c>
    </row>
    <row r="77" spans="1:17" ht="15">
      <c r="A77" s="163"/>
      <c r="B77" s="157" t="s">
        <v>261</v>
      </c>
      <c r="C77" s="166">
        <v>3.6</v>
      </c>
      <c r="D77" s="159">
        <f t="shared" si="5"/>
        <v>36</v>
      </c>
      <c r="E77" s="418"/>
      <c r="F77" s="418"/>
      <c r="G77" s="418"/>
      <c r="H77" s="418"/>
      <c r="I77" s="418"/>
      <c r="J77" s="418"/>
      <c r="K77" s="418">
        <v>31.6</v>
      </c>
      <c r="L77" s="418"/>
      <c r="M77" s="418"/>
      <c r="N77" s="418"/>
      <c r="O77" s="159">
        <f t="shared" si="8"/>
        <v>31.6</v>
      </c>
      <c r="P77" s="161">
        <f t="shared" si="6"/>
        <v>3.16</v>
      </c>
      <c r="Q77" s="162">
        <f t="shared" si="7"/>
        <v>-0.43999999999999984</v>
      </c>
    </row>
    <row r="78" spans="1:17" ht="15">
      <c r="A78" s="163"/>
      <c r="B78" s="157" t="s">
        <v>262</v>
      </c>
      <c r="C78" s="166">
        <v>1.8</v>
      </c>
      <c r="D78" s="159">
        <f t="shared" si="5"/>
        <v>18</v>
      </c>
      <c r="E78" s="418"/>
      <c r="F78" s="418"/>
      <c r="G78" s="418"/>
      <c r="H78" s="418"/>
      <c r="I78" s="418"/>
      <c r="J78" s="418"/>
      <c r="K78" s="418"/>
      <c r="L78" s="418"/>
      <c r="M78" s="418">
        <v>12</v>
      </c>
      <c r="N78" s="418"/>
      <c r="O78" s="159">
        <f t="shared" si="8"/>
        <v>12</v>
      </c>
      <c r="P78" s="161">
        <f t="shared" si="6"/>
        <v>1.2</v>
      </c>
      <c r="Q78" s="162">
        <f t="shared" si="7"/>
        <v>-0.6</v>
      </c>
    </row>
    <row r="79" spans="1:17" ht="15">
      <c r="A79" s="163"/>
      <c r="B79" s="157" t="s">
        <v>263</v>
      </c>
      <c r="C79" s="166">
        <v>0.4</v>
      </c>
      <c r="D79" s="159">
        <f t="shared" si="5"/>
        <v>4</v>
      </c>
      <c r="E79" s="418">
        <v>3.6</v>
      </c>
      <c r="F79" s="418"/>
      <c r="G79" s="418"/>
      <c r="H79" s="418"/>
      <c r="I79" s="418"/>
      <c r="J79" s="418"/>
      <c r="K79" s="418"/>
      <c r="L79" s="418"/>
      <c r="M79" s="418"/>
      <c r="N79" s="418"/>
      <c r="O79" s="159">
        <f aca="true" t="shared" si="9" ref="O79:O102">SUM(E79:N79)</f>
        <v>3.6</v>
      </c>
      <c r="P79" s="161">
        <f t="shared" si="6"/>
        <v>0.36</v>
      </c>
      <c r="Q79" s="162">
        <f t="shared" si="7"/>
        <v>-0.039999999999999994</v>
      </c>
    </row>
    <row r="80" spans="1:17" ht="15">
      <c r="A80" s="163"/>
      <c r="B80" s="157" t="s">
        <v>264</v>
      </c>
      <c r="C80" s="166">
        <v>9</v>
      </c>
      <c r="D80" s="159">
        <f t="shared" si="5"/>
        <v>90</v>
      </c>
      <c r="E80" s="418"/>
      <c r="F80" s="418"/>
      <c r="G80" s="418">
        <v>32.2</v>
      </c>
      <c r="H80" s="418"/>
      <c r="I80" s="418">
        <v>28</v>
      </c>
      <c r="J80" s="418">
        <v>10</v>
      </c>
      <c r="K80" s="418"/>
      <c r="L80" s="418">
        <v>19</v>
      </c>
      <c r="M80" s="418"/>
      <c r="N80" s="418"/>
      <c r="O80" s="159">
        <f t="shared" si="9"/>
        <v>89.2</v>
      </c>
      <c r="P80" s="161">
        <f t="shared" si="6"/>
        <v>8.92</v>
      </c>
      <c r="Q80" s="162">
        <f t="shared" si="7"/>
        <v>-0.07999999999999971</v>
      </c>
    </row>
    <row r="81" spans="1:17" ht="15">
      <c r="A81" s="163"/>
      <c r="B81" s="157" t="s">
        <v>265</v>
      </c>
      <c r="C81" s="166">
        <v>0.7</v>
      </c>
      <c r="D81" s="159">
        <f t="shared" si="5"/>
        <v>7</v>
      </c>
      <c r="E81" s="418"/>
      <c r="F81" s="418"/>
      <c r="G81" s="418"/>
      <c r="H81" s="418"/>
      <c r="I81" s="418"/>
      <c r="J81" s="418"/>
      <c r="K81" s="418">
        <v>8</v>
      </c>
      <c r="L81" s="418"/>
      <c r="M81" s="418"/>
      <c r="N81" s="418"/>
      <c r="O81" s="159">
        <f t="shared" si="9"/>
        <v>8</v>
      </c>
      <c r="P81" s="161">
        <f t="shared" si="6"/>
        <v>0.8</v>
      </c>
      <c r="Q81" s="162">
        <f t="shared" si="7"/>
        <v>0.1</v>
      </c>
    </row>
    <row r="82" spans="1:17" ht="15">
      <c r="A82" s="163" t="s">
        <v>266</v>
      </c>
      <c r="B82" s="156" t="s">
        <v>267</v>
      </c>
      <c r="C82" s="166">
        <v>11</v>
      </c>
      <c r="D82" s="159">
        <f t="shared" si="5"/>
        <v>110</v>
      </c>
      <c r="E82" s="418">
        <v>44.4</v>
      </c>
      <c r="F82" s="418"/>
      <c r="G82" s="418"/>
      <c r="H82" s="418"/>
      <c r="I82" s="418"/>
      <c r="J82" s="418">
        <v>44.3</v>
      </c>
      <c r="K82" s="418"/>
      <c r="L82" s="418">
        <v>9</v>
      </c>
      <c r="M82" s="418"/>
      <c r="N82" s="418">
        <v>8</v>
      </c>
      <c r="O82" s="169">
        <f t="shared" si="9"/>
        <v>105.69999999999999</v>
      </c>
      <c r="P82" s="161">
        <f t="shared" si="6"/>
        <v>10.569999999999999</v>
      </c>
      <c r="Q82" s="162">
        <f t="shared" si="7"/>
        <v>-0.43000000000000116</v>
      </c>
    </row>
    <row r="83" spans="1:17" ht="15">
      <c r="A83" s="163" t="s">
        <v>268</v>
      </c>
      <c r="B83" s="156" t="s">
        <v>269</v>
      </c>
      <c r="C83" s="166">
        <v>26</v>
      </c>
      <c r="D83" s="159">
        <f t="shared" si="5"/>
        <v>260</v>
      </c>
      <c r="E83" s="418">
        <v>36</v>
      </c>
      <c r="F83" s="418">
        <v>31</v>
      </c>
      <c r="G83" s="418">
        <v>33</v>
      </c>
      <c r="H83" s="418">
        <v>4.2</v>
      </c>
      <c r="I83" s="418">
        <v>49</v>
      </c>
      <c r="J83" s="418">
        <v>1.8</v>
      </c>
      <c r="K83" s="418">
        <v>33</v>
      </c>
      <c r="L83" s="418">
        <v>11</v>
      </c>
      <c r="M83" s="418">
        <v>31.5</v>
      </c>
      <c r="N83" s="418">
        <v>34</v>
      </c>
      <c r="O83" s="169">
        <f t="shared" si="9"/>
        <v>264.5</v>
      </c>
      <c r="P83" s="161">
        <f t="shared" si="6"/>
        <v>26.45</v>
      </c>
      <c r="Q83" s="162">
        <f t="shared" si="7"/>
        <v>0.45</v>
      </c>
    </row>
    <row r="84" spans="1:17" ht="15">
      <c r="A84" s="163" t="s">
        <v>270</v>
      </c>
      <c r="B84" s="156" t="s">
        <v>271</v>
      </c>
      <c r="C84" s="158">
        <v>19</v>
      </c>
      <c r="D84" s="159">
        <f t="shared" si="5"/>
        <v>190</v>
      </c>
      <c r="E84" s="418">
        <v>23.9</v>
      </c>
      <c r="F84" s="418">
        <v>15.2</v>
      </c>
      <c r="G84" s="418">
        <v>26</v>
      </c>
      <c r="H84" s="418">
        <v>20</v>
      </c>
      <c r="I84" s="418">
        <v>16</v>
      </c>
      <c r="J84" s="418">
        <v>25</v>
      </c>
      <c r="K84" s="418">
        <v>9.8</v>
      </c>
      <c r="L84" s="418">
        <v>22.8</v>
      </c>
      <c r="M84" s="418">
        <v>21</v>
      </c>
      <c r="N84" s="418">
        <v>14.7</v>
      </c>
      <c r="O84" s="169">
        <f t="shared" si="9"/>
        <v>194.4</v>
      </c>
      <c r="P84" s="161">
        <f t="shared" si="6"/>
        <v>19.44</v>
      </c>
      <c r="Q84" s="162">
        <f t="shared" si="7"/>
        <v>0.44000000000000056</v>
      </c>
    </row>
    <row r="85" spans="1:17" ht="15">
      <c r="A85" s="163" t="s">
        <v>272</v>
      </c>
      <c r="B85" s="156" t="s">
        <v>273</v>
      </c>
      <c r="C85" s="158">
        <v>10</v>
      </c>
      <c r="D85" s="159">
        <f t="shared" si="5"/>
        <v>100</v>
      </c>
      <c r="E85" s="418">
        <v>14</v>
      </c>
      <c r="F85" s="418">
        <v>15</v>
      </c>
      <c r="G85" s="418">
        <v>8</v>
      </c>
      <c r="H85" s="418">
        <v>5</v>
      </c>
      <c r="I85" s="418">
        <v>7</v>
      </c>
      <c r="J85" s="418">
        <v>11</v>
      </c>
      <c r="K85" s="418">
        <v>9.5</v>
      </c>
      <c r="L85" s="418">
        <v>6</v>
      </c>
      <c r="M85" s="418">
        <v>12</v>
      </c>
      <c r="N85" s="418">
        <v>17</v>
      </c>
      <c r="O85" s="169">
        <f t="shared" si="9"/>
        <v>104.5</v>
      </c>
      <c r="P85" s="161">
        <f t="shared" si="6"/>
        <v>10.45</v>
      </c>
      <c r="Q85" s="162">
        <f t="shared" si="7"/>
        <v>0.45</v>
      </c>
    </row>
    <row r="86" spans="1:17" ht="15">
      <c r="A86" s="149" t="s">
        <v>274</v>
      </c>
      <c r="B86" s="164" t="s">
        <v>275</v>
      </c>
      <c r="C86" s="149">
        <v>18</v>
      </c>
      <c r="D86" s="151">
        <f t="shared" si="5"/>
        <v>180</v>
      </c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153">
        <f>O87+O88+O89+O90+O91+O92+O93</f>
        <v>168.4</v>
      </c>
      <c r="P86" s="154">
        <f t="shared" si="6"/>
        <v>16.84</v>
      </c>
      <c r="Q86" s="155">
        <f t="shared" si="7"/>
        <v>-1.1599999999999995</v>
      </c>
    </row>
    <row r="87" spans="1:17" ht="15">
      <c r="A87" s="163"/>
      <c r="B87" s="157" t="s">
        <v>276</v>
      </c>
      <c r="C87" s="158">
        <v>5</v>
      </c>
      <c r="D87" s="159">
        <f t="shared" si="5"/>
        <v>50</v>
      </c>
      <c r="E87" s="418"/>
      <c r="F87" s="418"/>
      <c r="G87" s="418"/>
      <c r="H87" s="418"/>
      <c r="I87" s="418"/>
      <c r="J87" s="418"/>
      <c r="K87" s="418"/>
      <c r="L87" s="418">
        <v>38</v>
      </c>
      <c r="M87" s="418"/>
      <c r="N87" s="418"/>
      <c r="O87" s="159">
        <f t="shared" si="9"/>
        <v>38</v>
      </c>
      <c r="P87" s="161">
        <f t="shared" si="6"/>
        <v>3.8</v>
      </c>
      <c r="Q87" s="162">
        <f t="shared" si="7"/>
        <v>-1.2</v>
      </c>
    </row>
    <row r="88" spans="1:17" ht="15">
      <c r="A88" s="163"/>
      <c r="B88" s="157" t="s">
        <v>277</v>
      </c>
      <c r="C88" s="166">
        <v>3</v>
      </c>
      <c r="D88" s="159">
        <f aca="true" t="shared" si="10" ref="D88:D102">C88*10</f>
        <v>30</v>
      </c>
      <c r="E88" s="418"/>
      <c r="F88" s="418"/>
      <c r="G88" s="418"/>
      <c r="H88" s="418"/>
      <c r="I88" s="418"/>
      <c r="J88" s="418">
        <v>30</v>
      </c>
      <c r="K88" s="418"/>
      <c r="L88" s="418"/>
      <c r="M88" s="418"/>
      <c r="N88" s="418"/>
      <c r="O88" s="159">
        <f t="shared" si="9"/>
        <v>30</v>
      </c>
      <c r="P88" s="161">
        <f t="shared" si="6"/>
        <v>3</v>
      </c>
      <c r="Q88" s="162">
        <f t="shared" si="7"/>
        <v>0</v>
      </c>
    </row>
    <row r="89" spans="1:17" ht="15">
      <c r="A89" s="163"/>
      <c r="B89" s="157" t="s">
        <v>278</v>
      </c>
      <c r="C89" s="166">
        <v>4</v>
      </c>
      <c r="D89" s="159">
        <f t="shared" si="10"/>
        <v>40</v>
      </c>
      <c r="E89" s="418"/>
      <c r="F89" s="418"/>
      <c r="G89" s="418"/>
      <c r="H89" s="418">
        <v>30</v>
      </c>
      <c r="I89" s="418"/>
      <c r="J89" s="418"/>
      <c r="K89" s="418"/>
      <c r="L89" s="418"/>
      <c r="M89" s="418"/>
      <c r="N89" s="418">
        <v>10</v>
      </c>
      <c r="O89" s="159">
        <f t="shared" si="9"/>
        <v>40</v>
      </c>
      <c r="P89" s="161">
        <f aca="true" t="shared" si="11" ref="P89:P100">O89/10</f>
        <v>4</v>
      </c>
      <c r="Q89" s="162">
        <f aca="true" t="shared" si="12" ref="Q89:Q100">(O89-D89)/10</f>
        <v>0</v>
      </c>
    </row>
    <row r="90" spans="1:17" ht="15">
      <c r="A90" s="163"/>
      <c r="B90" s="157" t="s">
        <v>279</v>
      </c>
      <c r="C90" s="166">
        <v>3</v>
      </c>
      <c r="D90" s="159">
        <f t="shared" si="10"/>
        <v>30</v>
      </c>
      <c r="E90" s="418"/>
      <c r="F90" s="418">
        <v>20</v>
      </c>
      <c r="G90" s="418"/>
      <c r="H90" s="418"/>
      <c r="I90" s="418">
        <v>10</v>
      </c>
      <c r="J90" s="418"/>
      <c r="K90" s="418"/>
      <c r="L90" s="418"/>
      <c r="M90" s="418"/>
      <c r="N90" s="418"/>
      <c r="O90" s="159">
        <f t="shared" si="9"/>
        <v>30</v>
      </c>
      <c r="P90" s="161">
        <f t="shared" si="11"/>
        <v>3</v>
      </c>
      <c r="Q90" s="162">
        <f t="shared" si="12"/>
        <v>0</v>
      </c>
    </row>
    <row r="91" spans="1:17" ht="15">
      <c r="A91" s="163"/>
      <c r="B91" s="157" t="s">
        <v>280</v>
      </c>
      <c r="C91" s="166">
        <v>1.5</v>
      </c>
      <c r="D91" s="159">
        <f t="shared" si="10"/>
        <v>15</v>
      </c>
      <c r="E91" s="418"/>
      <c r="F91" s="418">
        <v>15</v>
      </c>
      <c r="G91" s="418"/>
      <c r="H91" s="418"/>
      <c r="I91" s="418"/>
      <c r="J91" s="418"/>
      <c r="K91" s="418"/>
      <c r="L91" s="418"/>
      <c r="M91" s="418"/>
      <c r="N91" s="418"/>
      <c r="O91" s="159">
        <f t="shared" si="9"/>
        <v>15</v>
      </c>
      <c r="P91" s="161">
        <f t="shared" si="11"/>
        <v>1.5</v>
      </c>
      <c r="Q91" s="162">
        <f t="shared" si="12"/>
        <v>0</v>
      </c>
    </row>
    <row r="92" spans="1:17" ht="15">
      <c r="A92" s="163"/>
      <c r="B92" s="157" t="s">
        <v>281</v>
      </c>
      <c r="C92" s="166">
        <v>1.5</v>
      </c>
      <c r="D92" s="159">
        <f t="shared" si="10"/>
        <v>15</v>
      </c>
      <c r="E92" s="418"/>
      <c r="F92" s="418"/>
      <c r="G92" s="418"/>
      <c r="H92" s="418"/>
      <c r="I92" s="418"/>
      <c r="J92" s="418">
        <v>15</v>
      </c>
      <c r="K92" s="418"/>
      <c r="L92" s="418"/>
      <c r="M92" s="418"/>
      <c r="N92" s="418"/>
      <c r="O92" s="159">
        <f t="shared" si="9"/>
        <v>15</v>
      </c>
      <c r="P92" s="161">
        <f t="shared" si="11"/>
        <v>1.5</v>
      </c>
      <c r="Q92" s="162">
        <f t="shared" si="12"/>
        <v>0</v>
      </c>
    </row>
    <row r="93" spans="1:17" ht="15">
      <c r="A93" s="163"/>
      <c r="B93" s="170" t="s">
        <v>282</v>
      </c>
      <c r="C93" s="166">
        <v>0.04</v>
      </c>
      <c r="D93" s="159">
        <f t="shared" si="10"/>
        <v>0.4</v>
      </c>
      <c r="E93" s="432"/>
      <c r="F93" s="432"/>
      <c r="G93" s="432">
        <v>0.1</v>
      </c>
      <c r="H93" s="432"/>
      <c r="I93" s="432">
        <v>0.1</v>
      </c>
      <c r="J93" s="432"/>
      <c r="K93" s="432"/>
      <c r="L93" s="432">
        <v>0.1</v>
      </c>
      <c r="M93" s="432"/>
      <c r="N93" s="432">
        <v>0.1</v>
      </c>
      <c r="O93" s="159">
        <f t="shared" si="9"/>
        <v>0.4</v>
      </c>
      <c r="P93" s="161">
        <f t="shared" si="11"/>
        <v>0.04</v>
      </c>
      <c r="Q93" s="162">
        <f t="shared" si="12"/>
        <v>0</v>
      </c>
    </row>
    <row r="94" spans="1:17" ht="15">
      <c r="A94" s="163"/>
      <c r="B94" s="170" t="s">
        <v>283</v>
      </c>
      <c r="C94" s="158">
        <v>0.045</v>
      </c>
      <c r="D94" s="159">
        <f t="shared" si="10"/>
        <v>0.44999999999999996</v>
      </c>
      <c r="E94" s="432">
        <v>0.045</v>
      </c>
      <c r="F94" s="432">
        <v>0.045</v>
      </c>
      <c r="G94" s="432">
        <v>0.045</v>
      </c>
      <c r="H94" s="432">
        <v>0.045</v>
      </c>
      <c r="I94" s="432">
        <v>0.045</v>
      </c>
      <c r="J94" s="432">
        <v>0.045</v>
      </c>
      <c r="K94" s="432">
        <v>0.045</v>
      </c>
      <c r="L94" s="432">
        <v>0.045</v>
      </c>
      <c r="M94" s="432">
        <v>0.045</v>
      </c>
      <c r="N94" s="432">
        <v>0.045</v>
      </c>
      <c r="O94" s="159">
        <f t="shared" si="9"/>
        <v>0.4499999999999999</v>
      </c>
      <c r="P94" s="161">
        <f t="shared" si="11"/>
        <v>0.04499999999999999</v>
      </c>
      <c r="Q94" s="162">
        <f t="shared" si="12"/>
        <v>-5.551115123125783E-18</v>
      </c>
    </row>
    <row r="95" spans="1:17" ht="15">
      <c r="A95" s="163" t="s">
        <v>284</v>
      </c>
      <c r="B95" s="156" t="s">
        <v>285</v>
      </c>
      <c r="C95" s="158">
        <v>0.54</v>
      </c>
      <c r="D95" s="159">
        <f t="shared" si="10"/>
        <v>5.4</v>
      </c>
      <c r="E95" s="432">
        <v>0.3</v>
      </c>
      <c r="F95" s="432">
        <v>0.3</v>
      </c>
      <c r="G95" s="432">
        <v>0.33</v>
      </c>
      <c r="H95" s="432">
        <v>0.33</v>
      </c>
      <c r="I95" s="432">
        <v>0.63</v>
      </c>
      <c r="J95" s="432">
        <v>0.33</v>
      </c>
      <c r="K95" s="432">
        <v>0.6</v>
      </c>
      <c r="L95" s="432">
        <v>0.33</v>
      </c>
      <c r="M95" s="432">
        <v>0.3</v>
      </c>
      <c r="N95" s="432">
        <v>1</v>
      </c>
      <c r="O95" s="169">
        <f t="shared" si="9"/>
        <v>4.45</v>
      </c>
      <c r="P95" s="161">
        <f t="shared" si="11"/>
        <v>0.445</v>
      </c>
      <c r="Q95" s="162">
        <f>(O95-D95)/10</f>
        <v>-0.09500000000000001</v>
      </c>
    </row>
    <row r="96" spans="1:17" ht="15">
      <c r="A96" s="163" t="s">
        <v>286</v>
      </c>
      <c r="B96" s="156" t="s">
        <v>287</v>
      </c>
      <c r="C96" s="158">
        <v>0.54</v>
      </c>
      <c r="D96" s="159">
        <f t="shared" si="10"/>
        <v>5.4</v>
      </c>
      <c r="E96" s="432"/>
      <c r="F96" s="432">
        <v>2.2</v>
      </c>
      <c r="G96" s="432"/>
      <c r="H96" s="432"/>
      <c r="I96" s="432"/>
      <c r="J96" s="432"/>
      <c r="K96" s="432">
        <v>2</v>
      </c>
      <c r="L96" s="432"/>
      <c r="M96" s="432"/>
      <c r="N96" s="432"/>
      <c r="O96" s="169">
        <f t="shared" si="9"/>
        <v>4.2</v>
      </c>
      <c r="P96" s="161">
        <f t="shared" si="11"/>
        <v>0.42000000000000004</v>
      </c>
      <c r="Q96" s="162">
        <f t="shared" si="12"/>
        <v>-0.12000000000000002</v>
      </c>
    </row>
    <row r="97" spans="1:17" ht="15">
      <c r="A97" s="163" t="s">
        <v>288</v>
      </c>
      <c r="B97" s="156" t="s">
        <v>289</v>
      </c>
      <c r="C97" s="158">
        <v>1.1</v>
      </c>
      <c r="D97" s="159">
        <f t="shared" si="10"/>
        <v>11</v>
      </c>
      <c r="E97" s="432">
        <v>3</v>
      </c>
      <c r="F97" s="432"/>
      <c r="G97" s="432"/>
      <c r="H97" s="432">
        <v>3.3</v>
      </c>
      <c r="I97" s="432"/>
      <c r="J97" s="432"/>
      <c r="K97" s="432"/>
      <c r="L97" s="432"/>
      <c r="M97" s="432">
        <v>3</v>
      </c>
      <c r="N97" s="432"/>
      <c r="O97" s="169">
        <f t="shared" si="9"/>
        <v>9.3</v>
      </c>
      <c r="P97" s="161">
        <f t="shared" si="11"/>
        <v>0.93</v>
      </c>
      <c r="Q97" s="162">
        <f t="shared" si="12"/>
        <v>-0.16999999999999993</v>
      </c>
    </row>
    <row r="98" spans="1:17" ht="15">
      <c r="A98" s="163" t="s">
        <v>290</v>
      </c>
      <c r="B98" s="156" t="s">
        <v>291</v>
      </c>
      <c r="C98" s="158">
        <v>27</v>
      </c>
      <c r="D98" s="159">
        <f t="shared" si="10"/>
        <v>270</v>
      </c>
      <c r="E98" s="432">
        <v>33.5</v>
      </c>
      <c r="F98" s="432">
        <v>21.6</v>
      </c>
      <c r="G98" s="432">
        <v>24.5</v>
      </c>
      <c r="H98" s="432">
        <v>26.7</v>
      </c>
      <c r="I98" s="432">
        <v>24.5</v>
      </c>
      <c r="J98" s="432">
        <v>18</v>
      </c>
      <c r="K98" s="432">
        <v>31.1</v>
      </c>
      <c r="L98" s="432">
        <v>22.9</v>
      </c>
      <c r="M98" s="432">
        <v>20.2</v>
      </c>
      <c r="N98" s="432">
        <v>21</v>
      </c>
      <c r="O98" s="169">
        <f t="shared" si="9"/>
        <v>244</v>
      </c>
      <c r="P98" s="161">
        <f t="shared" si="11"/>
        <v>24.4</v>
      </c>
      <c r="Q98" s="162">
        <f t="shared" si="12"/>
        <v>-2.6</v>
      </c>
    </row>
    <row r="99" spans="1:17" ht="15">
      <c r="A99" s="163" t="s">
        <v>292</v>
      </c>
      <c r="B99" s="156" t="s">
        <v>293</v>
      </c>
      <c r="C99" s="158">
        <v>0.11</v>
      </c>
      <c r="D99" s="159">
        <f t="shared" si="10"/>
        <v>1.1</v>
      </c>
      <c r="E99" s="432">
        <v>0.2</v>
      </c>
      <c r="F99" s="432">
        <v>0.1</v>
      </c>
      <c r="G99" s="432"/>
      <c r="H99" s="432"/>
      <c r="I99" s="432">
        <v>0.2</v>
      </c>
      <c r="J99" s="432"/>
      <c r="K99" s="432">
        <v>0.1</v>
      </c>
      <c r="L99" s="432"/>
      <c r="M99" s="432">
        <v>0.2</v>
      </c>
      <c r="N99" s="432">
        <v>0.2</v>
      </c>
      <c r="O99" s="169">
        <f t="shared" si="9"/>
        <v>1</v>
      </c>
      <c r="P99" s="161">
        <f t="shared" si="11"/>
        <v>0.1</v>
      </c>
      <c r="Q99" s="162">
        <f t="shared" si="12"/>
        <v>-0.010000000000000009</v>
      </c>
    </row>
    <row r="100" spans="1:17" ht="15">
      <c r="A100" s="163" t="s">
        <v>294</v>
      </c>
      <c r="B100" s="156" t="s">
        <v>295</v>
      </c>
      <c r="C100" s="158">
        <v>2.7</v>
      </c>
      <c r="D100" s="159">
        <f t="shared" si="10"/>
        <v>27</v>
      </c>
      <c r="E100" s="432"/>
      <c r="F100" s="432"/>
      <c r="G100" s="432"/>
      <c r="H100" s="432">
        <v>10</v>
      </c>
      <c r="I100" s="432"/>
      <c r="J100" s="432"/>
      <c r="K100" s="432">
        <v>7.2</v>
      </c>
      <c r="L100" s="432"/>
      <c r="M100" s="432"/>
      <c r="N100" s="432"/>
      <c r="O100" s="169">
        <f t="shared" si="9"/>
        <v>17.2</v>
      </c>
      <c r="P100" s="161">
        <f t="shared" si="11"/>
        <v>1.72</v>
      </c>
      <c r="Q100" s="162">
        <f t="shared" si="12"/>
        <v>-0.9800000000000001</v>
      </c>
    </row>
    <row r="101" spans="1:17" ht="15">
      <c r="A101" s="176" t="s">
        <v>296</v>
      </c>
      <c r="B101" s="177" t="s">
        <v>297</v>
      </c>
      <c r="C101" s="178">
        <v>5</v>
      </c>
      <c r="D101" s="179">
        <f t="shared" si="10"/>
        <v>50</v>
      </c>
      <c r="E101" s="433">
        <v>5</v>
      </c>
      <c r="F101" s="433">
        <v>5</v>
      </c>
      <c r="G101" s="433">
        <v>5</v>
      </c>
      <c r="H101" s="433">
        <v>5</v>
      </c>
      <c r="I101" s="434">
        <v>5</v>
      </c>
      <c r="J101" s="433">
        <v>5</v>
      </c>
      <c r="K101" s="433">
        <v>5</v>
      </c>
      <c r="L101" s="433">
        <v>5</v>
      </c>
      <c r="M101" s="433">
        <v>5</v>
      </c>
      <c r="N101" s="433">
        <v>5</v>
      </c>
      <c r="O101" s="179">
        <f t="shared" si="9"/>
        <v>50</v>
      </c>
      <c r="P101" s="179"/>
      <c r="Q101" s="179">
        <f>O101-D101</f>
        <v>0</v>
      </c>
    </row>
    <row r="102" spans="1:17" ht="15">
      <c r="A102" s="181" t="s">
        <v>298</v>
      </c>
      <c r="B102" s="194" t="s">
        <v>299</v>
      </c>
      <c r="C102" s="183">
        <v>3</v>
      </c>
      <c r="D102" s="184">
        <f t="shared" si="10"/>
        <v>30</v>
      </c>
      <c r="E102" s="435">
        <v>3</v>
      </c>
      <c r="F102" s="435">
        <v>3</v>
      </c>
      <c r="G102" s="435">
        <v>3</v>
      </c>
      <c r="H102" s="435">
        <v>3</v>
      </c>
      <c r="I102" s="436">
        <v>3</v>
      </c>
      <c r="J102" s="435">
        <v>3</v>
      </c>
      <c r="K102" s="435">
        <v>3</v>
      </c>
      <c r="L102" s="435">
        <v>3</v>
      </c>
      <c r="M102" s="435">
        <v>3</v>
      </c>
      <c r="N102" s="435">
        <v>3</v>
      </c>
      <c r="O102" s="184">
        <f t="shared" si="9"/>
        <v>30</v>
      </c>
      <c r="P102" s="184"/>
      <c r="Q102" s="184">
        <f>O102-D102</f>
        <v>0</v>
      </c>
    </row>
    <row r="103" spans="5:14" ht="12.75">
      <c r="E103" s="189">
        <v>1</v>
      </c>
      <c r="F103" s="189">
        <v>2</v>
      </c>
      <c r="G103" s="189">
        <v>3</v>
      </c>
      <c r="H103" s="189">
        <v>4</v>
      </c>
      <c r="I103" s="419">
        <v>5</v>
      </c>
      <c r="J103" s="189">
        <v>6</v>
      </c>
      <c r="K103" s="189">
        <v>7</v>
      </c>
      <c r="L103" s="189">
        <v>8</v>
      </c>
      <c r="M103" s="189">
        <v>9</v>
      </c>
      <c r="N103" s="189">
        <v>10</v>
      </c>
    </row>
  </sheetData>
  <sheetProtection/>
  <mergeCells count="7">
    <mergeCell ref="Q1:Q2"/>
    <mergeCell ref="A1:A2"/>
    <mergeCell ref="B1:B2"/>
    <mergeCell ref="C1:D1"/>
    <mergeCell ref="E1:N1"/>
    <mergeCell ref="O1:O2"/>
    <mergeCell ref="P1:P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view="pageBreakPreview" zoomScale="60" zoomScaleNormal="87" workbookViewId="0" topLeftCell="A254">
      <selection activeCell="A1" sqref="A1:L314"/>
    </sheetView>
  </sheetViews>
  <sheetFormatPr defaultColWidth="9.00390625" defaultRowHeight="12.75"/>
  <cols>
    <col min="1" max="1" width="19.00390625" style="6" customWidth="1"/>
    <col min="2" max="2" width="60.875" style="15" customWidth="1"/>
    <col min="3" max="3" width="12.625" style="260" customWidth="1"/>
    <col min="4" max="5" width="9.00390625" style="134" customWidth="1"/>
    <col min="6" max="6" width="9.125" style="134" customWidth="1"/>
    <col min="7" max="7" width="9.75390625" style="553" customWidth="1"/>
    <col min="8" max="8" width="8.00390625" style="134" customWidth="1"/>
    <col min="9" max="9" width="7.375" style="134" customWidth="1"/>
    <col min="10" max="10" width="7.625" style="134" customWidth="1"/>
    <col min="11" max="11" width="9.00390625" style="134" customWidth="1"/>
    <col min="12" max="12" width="25.625" style="321" customWidth="1"/>
    <col min="13" max="13" width="9.125" style="203" customWidth="1"/>
    <col min="14" max="16384" width="9.125" style="6" customWidth="1"/>
  </cols>
  <sheetData>
    <row r="1" spans="2:12" ht="15.75">
      <c r="B1" s="218"/>
      <c r="C1" s="256"/>
      <c r="D1" s="125"/>
      <c r="E1" s="125"/>
      <c r="F1" s="125"/>
      <c r="G1" s="517"/>
      <c r="H1" s="135"/>
      <c r="I1" s="135"/>
      <c r="J1" s="135"/>
      <c r="K1" s="136" t="s">
        <v>581</v>
      </c>
      <c r="L1" s="20"/>
    </row>
    <row r="2" spans="2:12" ht="15.75">
      <c r="B2" s="218"/>
      <c r="C2" s="256"/>
      <c r="D2" s="125"/>
      <c r="E2" s="125"/>
      <c r="F2" s="125"/>
      <c r="G2" s="517"/>
      <c r="H2" s="135"/>
      <c r="I2" s="135"/>
      <c r="J2" s="135"/>
      <c r="K2" s="137"/>
      <c r="L2" s="20"/>
    </row>
    <row r="3" spans="2:12" ht="18" customHeight="1">
      <c r="B3" s="218"/>
      <c r="C3" s="256"/>
      <c r="D3" s="125"/>
      <c r="E3" s="125"/>
      <c r="F3" s="125"/>
      <c r="G3" s="517"/>
      <c r="H3" s="135"/>
      <c r="I3" s="135"/>
      <c r="J3" s="135"/>
      <c r="K3" s="138" t="s">
        <v>42</v>
      </c>
      <c r="L3" s="20"/>
    </row>
    <row r="4" spans="2:12" ht="15.75" customHeight="1">
      <c r="B4" s="218"/>
      <c r="C4" s="256"/>
      <c r="D4" s="125"/>
      <c r="E4" s="125"/>
      <c r="F4" s="125"/>
      <c r="G4" s="517"/>
      <c r="H4" s="135"/>
      <c r="I4" s="135"/>
      <c r="J4" s="135"/>
      <c r="K4" s="570" t="s">
        <v>582</v>
      </c>
      <c r="L4" s="570"/>
    </row>
    <row r="5" spans="2:12" ht="15.75">
      <c r="B5" s="218"/>
      <c r="C5" s="256"/>
      <c r="D5" s="125"/>
      <c r="E5" s="125"/>
      <c r="F5" s="125"/>
      <c r="G5" s="518"/>
      <c r="H5" s="139"/>
      <c r="I5" s="139"/>
      <c r="J5" s="139"/>
      <c r="K5" s="140" t="s">
        <v>583</v>
      </c>
      <c r="L5" s="21"/>
    </row>
    <row r="6" spans="2:12" ht="15.75">
      <c r="B6" s="218"/>
      <c r="C6" s="256"/>
      <c r="D6" s="125"/>
      <c r="E6" s="125"/>
      <c r="F6" s="125"/>
      <c r="G6" s="518"/>
      <c r="H6" s="139"/>
      <c r="I6" s="139"/>
      <c r="J6" s="139"/>
      <c r="K6" s="140"/>
      <c r="L6" s="21"/>
    </row>
    <row r="7" spans="2:12" ht="15" customHeight="1">
      <c r="B7" s="571" t="s">
        <v>43</v>
      </c>
      <c r="C7" s="571"/>
      <c r="D7" s="571"/>
      <c r="E7" s="571"/>
      <c r="F7" s="571"/>
      <c r="G7" s="571"/>
      <c r="H7" s="571"/>
      <c r="I7" s="571"/>
      <c r="J7" s="571"/>
      <c r="K7" s="571"/>
      <c r="L7" s="571"/>
    </row>
    <row r="8" spans="2:12" ht="15" customHeight="1">
      <c r="B8" s="572" t="s">
        <v>44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</row>
    <row r="9" spans="2:12" ht="15" customHeight="1">
      <c r="B9" s="572" t="s">
        <v>499</v>
      </c>
      <c r="C9" s="572"/>
      <c r="D9" s="572"/>
      <c r="E9" s="572"/>
      <c r="F9" s="572"/>
      <c r="G9" s="572"/>
      <c r="H9" s="572"/>
      <c r="I9" s="572"/>
      <c r="J9" s="572"/>
      <c r="K9" s="572"/>
      <c r="L9" s="572"/>
    </row>
    <row r="10" spans="1:12" ht="17.25" customHeight="1">
      <c r="A10" s="592" t="s">
        <v>45</v>
      </c>
      <c r="B10" s="581" t="s">
        <v>2</v>
      </c>
      <c r="C10" s="581" t="s">
        <v>24</v>
      </c>
      <c r="D10" s="573" t="s">
        <v>0</v>
      </c>
      <c r="E10" s="573"/>
      <c r="F10" s="573"/>
      <c r="G10" s="602" t="s">
        <v>46</v>
      </c>
      <c r="H10" s="594" t="s">
        <v>47</v>
      </c>
      <c r="I10" s="594"/>
      <c r="J10" s="594"/>
      <c r="K10" s="579" t="s">
        <v>48</v>
      </c>
      <c r="L10" s="577" t="s">
        <v>49</v>
      </c>
    </row>
    <row r="11" spans="1:12" ht="44.25" customHeight="1">
      <c r="A11" s="593"/>
      <c r="B11" s="582"/>
      <c r="C11" s="595"/>
      <c r="D11" s="126" t="s">
        <v>25</v>
      </c>
      <c r="E11" s="126" t="s">
        <v>26</v>
      </c>
      <c r="F11" s="126" t="s">
        <v>50</v>
      </c>
      <c r="G11" s="603"/>
      <c r="H11" s="141" t="s">
        <v>51</v>
      </c>
      <c r="I11" s="141" t="s">
        <v>20</v>
      </c>
      <c r="J11" s="141" t="s">
        <v>19</v>
      </c>
      <c r="K11" s="580"/>
      <c r="L11" s="578"/>
    </row>
    <row r="12" spans="1:12" ht="15" customHeight="1">
      <c r="A12" s="4"/>
      <c r="B12" s="596" t="s">
        <v>28</v>
      </c>
      <c r="C12" s="597"/>
      <c r="D12" s="597"/>
      <c r="E12" s="597"/>
      <c r="F12" s="597"/>
      <c r="G12" s="597"/>
      <c r="H12" s="597"/>
      <c r="I12" s="597"/>
      <c r="J12" s="597"/>
      <c r="K12" s="597"/>
      <c r="L12" s="598"/>
    </row>
    <row r="13" spans="1:12" ht="15" customHeight="1">
      <c r="A13" s="40" t="s">
        <v>52</v>
      </c>
      <c r="B13" s="41"/>
      <c r="C13" s="1"/>
      <c r="D13" s="5"/>
      <c r="E13" s="5"/>
      <c r="F13" s="5"/>
      <c r="G13" s="519"/>
      <c r="H13" s="5"/>
      <c r="I13" s="5"/>
      <c r="J13" s="5"/>
      <c r="K13" s="5"/>
      <c r="L13" s="277"/>
    </row>
    <row r="14" spans="1:12" ht="15" customHeight="1">
      <c r="A14" s="58"/>
      <c r="B14" s="66" t="s">
        <v>121</v>
      </c>
      <c r="C14" s="1">
        <v>10</v>
      </c>
      <c r="D14" s="5">
        <v>0.08</v>
      </c>
      <c r="E14" s="5">
        <v>3</v>
      </c>
      <c r="F14" s="5">
        <v>0.14</v>
      </c>
      <c r="G14" s="520">
        <v>66</v>
      </c>
      <c r="H14" s="5">
        <v>0</v>
      </c>
      <c r="I14" s="5">
        <v>0</v>
      </c>
      <c r="J14" s="5">
        <v>0</v>
      </c>
      <c r="K14" s="5">
        <v>0</v>
      </c>
      <c r="L14" s="277" t="s">
        <v>122</v>
      </c>
    </row>
    <row r="15" spans="1:12" ht="18" customHeight="1">
      <c r="A15" s="58"/>
      <c r="B15" s="219" t="s">
        <v>123</v>
      </c>
      <c r="C15" s="119">
        <v>190</v>
      </c>
      <c r="D15" s="120">
        <v>5.605</v>
      </c>
      <c r="E15" s="120">
        <v>0.855</v>
      </c>
      <c r="F15" s="120">
        <v>17.005</v>
      </c>
      <c r="G15" s="521">
        <v>140.5</v>
      </c>
      <c r="H15" s="120">
        <v>157.32000000000002</v>
      </c>
      <c r="I15" s="120">
        <v>34.428000000000004</v>
      </c>
      <c r="J15" s="120">
        <v>0.6206666666666666</v>
      </c>
      <c r="K15" s="120">
        <v>0.665</v>
      </c>
      <c r="L15" s="278" t="s">
        <v>124</v>
      </c>
    </row>
    <row r="16" spans="1:12" ht="15" customHeight="1">
      <c r="A16" s="44"/>
      <c r="B16" s="220" t="s">
        <v>125</v>
      </c>
      <c r="C16" s="27">
        <v>180</v>
      </c>
      <c r="D16" s="22">
        <v>2.8529999999999998</v>
      </c>
      <c r="E16" s="22">
        <v>2.412</v>
      </c>
      <c r="F16" s="22">
        <v>9.4</v>
      </c>
      <c r="G16" s="522">
        <v>70.6</v>
      </c>
      <c r="H16" s="22">
        <v>113.2</v>
      </c>
      <c r="I16" s="22">
        <v>12.6</v>
      </c>
      <c r="J16" s="22">
        <v>0.1</v>
      </c>
      <c r="K16" s="22">
        <v>1.17</v>
      </c>
      <c r="L16" s="279" t="s">
        <v>17</v>
      </c>
    </row>
    <row r="17" spans="1:12" ht="15" customHeight="1">
      <c r="A17" s="45"/>
      <c r="B17" s="46" t="s">
        <v>36</v>
      </c>
      <c r="C17" s="23">
        <v>32</v>
      </c>
      <c r="D17" s="22">
        <v>2.4</v>
      </c>
      <c r="E17" s="22">
        <v>0.9279999999999999</v>
      </c>
      <c r="F17" s="22">
        <v>16.448</v>
      </c>
      <c r="G17" s="522">
        <v>83.5</v>
      </c>
      <c r="H17" s="22">
        <v>0.064</v>
      </c>
      <c r="I17" s="22">
        <v>0</v>
      </c>
      <c r="J17" s="22">
        <v>0.19</v>
      </c>
      <c r="K17" s="22">
        <v>0</v>
      </c>
      <c r="L17" s="280" t="s">
        <v>126</v>
      </c>
    </row>
    <row r="18" spans="1:12" ht="14.25" customHeight="1">
      <c r="A18" s="45" t="s">
        <v>23</v>
      </c>
      <c r="B18" s="47"/>
      <c r="C18" s="7">
        <f>SUM(C14:C17)</f>
        <v>412</v>
      </c>
      <c r="D18" s="8">
        <f aca="true" t="shared" si="0" ref="D18:K18">SUM(D14:D17)</f>
        <v>10.938</v>
      </c>
      <c r="E18" s="8">
        <f t="shared" si="0"/>
        <v>7.194999999999999</v>
      </c>
      <c r="F18" s="8">
        <f t="shared" si="0"/>
        <v>42.993</v>
      </c>
      <c r="G18" s="206">
        <f t="shared" si="0"/>
        <v>360.6</v>
      </c>
      <c r="H18" s="8">
        <f t="shared" si="0"/>
        <v>270.58400000000006</v>
      </c>
      <c r="I18" s="8">
        <f t="shared" si="0"/>
        <v>47.028000000000006</v>
      </c>
      <c r="J18" s="8">
        <f t="shared" si="0"/>
        <v>0.9106666666666665</v>
      </c>
      <c r="K18" s="8">
        <f t="shared" si="0"/>
        <v>1.835</v>
      </c>
      <c r="L18" s="281"/>
    </row>
    <row r="19" spans="1:12" ht="15" customHeight="1">
      <c r="A19" s="45" t="s">
        <v>53</v>
      </c>
      <c r="B19" s="1"/>
      <c r="C19" s="1"/>
      <c r="D19" s="5"/>
      <c r="E19" s="5"/>
      <c r="F19" s="5"/>
      <c r="G19" s="520"/>
      <c r="H19" s="5"/>
      <c r="I19" s="5"/>
      <c r="J19" s="5"/>
      <c r="K19" s="5"/>
      <c r="L19" s="277"/>
    </row>
    <row r="20" spans="1:12" ht="15" customHeight="1">
      <c r="A20" s="45"/>
      <c r="B20" s="220" t="s">
        <v>111</v>
      </c>
      <c r="C20" s="72">
        <v>110</v>
      </c>
      <c r="D20" s="10">
        <v>3</v>
      </c>
      <c r="E20" s="10">
        <v>0</v>
      </c>
      <c r="F20" s="10">
        <v>13</v>
      </c>
      <c r="G20" s="73">
        <v>90</v>
      </c>
      <c r="H20" s="10">
        <v>130</v>
      </c>
      <c r="I20" s="10">
        <v>14.3</v>
      </c>
      <c r="J20" s="10">
        <v>0.11</v>
      </c>
      <c r="K20" s="10">
        <v>0.7</v>
      </c>
      <c r="L20" s="281" t="s">
        <v>3</v>
      </c>
    </row>
    <row r="21" spans="1:12" ht="15" customHeight="1">
      <c r="A21" s="48"/>
      <c r="B21" s="46"/>
      <c r="C21" s="75">
        <f>SUM(C20)</f>
        <v>110</v>
      </c>
      <c r="D21" s="206">
        <f>SUM(D20)</f>
        <v>3</v>
      </c>
      <c r="E21" s="206">
        <f aca="true" t="shared" si="1" ref="E21:K21">SUM(E20)</f>
        <v>0</v>
      </c>
      <c r="F21" s="206">
        <f t="shared" si="1"/>
        <v>13</v>
      </c>
      <c r="G21" s="206">
        <f t="shared" si="1"/>
        <v>90</v>
      </c>
      <c r="H21" s="206">
        <f t="shared" si="1"/>
        <v>130</v>
      </c>
      <c r="I21" s="206">
        <f t="shared" si="1"/>
        <v>14.3</v>
      </c>
      <c r="J21" s="206">
        <f t="shared" si="1"/>
        <v>0.11</v>
      </c>
      <c r="K21" s="206">
        <f t="shared" si="1"/>
        <v>0.7</v>
      </c>
      <c r="L21" s="281"/>
    </row>
    <row r="22" spans="1:12" ht="15" customHeight="1">
      <c r="A22" s="40" t="s">
        <v>54</v>
      </c>
      <c r="B22" s="41"/>
      <c r="C22" s="1"/>
      <c r="D22" s="5"/>
      <c r="E22" s="5"/>
      <c r="F22" s="5"/>
      <c r="G22" s="519"/>
      <c r="H22" s="5"/>
      <c r="I22" s="5"/>
      <c r="J22" s="5"/>
      <c r="K22" s="5"/>
      <c r="L22" s="282"/>
    </row>
    <row r="23" spans="1:12" ht="15" customHeight="1">
      <c r="A23" s="43"/>
      <c r="B23" s="221" t="s">
        <v>564</v>
      </c>
      <c r="C23" s="23" t="s">
        <v>356</v>
      </c>
      <c r="D23" s="39">
        <v>0.7</v>
      </c>
      <c r="E23" s="39">
        <v>2.5</v>
      </c>
      <c r="F23" s="39">
        <v>3</v>
      </c>
      <c r="G23" s="523">
        <v>43.5</v>
      </c>
      <c r="H23" s="39">
        <v>18.7</v>
      </c>
      <c r="I23" s="39">
        <v>7.599999999999999</v>
      </c>
      <c r="J23" s="39">
        <v>0.30000000000000004</v>
      </c>
      <c r="K23" s="26">
        <v>16.200000000000003</v>
      </c>
      <c r="L23" s="283" t="s">
        <v>487</v>
      </c>
    </row>
    <row r="24" spans="1:12" ht="18" customHeight="1">
      <c r="A24" s="44"/>
      <c r="B24" s="222" t="s">
        <v>143</v>
      </c>
      <c r="C24" s="145" t="s">
        <v>562</v>
      </c>
      <c r="D24" s="68">
        <v>1.584</v>
      </c>
      <c r="E24" s="68">
        <v>3.699</v>
      </c>
      <c r="F24" s="68">
        <v>12.042</v>
      </c>
      <c r="G24" s="524">
        <v>87</v>
      </c>
      <c r="H24" s="146">
        <v>57.13199999999999</v>
      </c>
      <c r="I24" s="146">
        <v>55.943999999999996</v>
      </c>
      <c r="J24" s="146">
        <v>2.0879999999999996</v>
      </c>
      <c r="K24" s="68">
        <v>7.2</v>
      </c>
      <c r="L24" s="284" t="s">
        <v>127</v>
      </c>
    </row>
    <row r="25" spans="1:12" ht="15" customHeight="1">
      <c r="A25" s="45"/>
      <c r="B25" s="49" t="s">
        <v>500</v>
      </c>
      <c r="C25" s="41">
        <v>80</v>
      </c>
      <c r="D25" s="127">
        <v>13.200000000000001</v>
      </c>
      <c r="E25" s="127">
        <v>8.933333333333334</v>
      </c>
      <c r="F25" s="127">
        <v>12.266666666666667</v>
      </c>
      <c r="G25" s="525">
        <v>183</v>
      </c>
      <c r="H25" s="127">
        <v>29.866666666666674</v>
      </c>
      <c r="I25" s="127">
        <v>17.200000000000006</v>
      </c>
      <c r="J25" s="127">
        <v>1.2000000000000004</v>
      </c>
      <c r="K25" s="127">
        <v>1.4666666666666672</v>
      </c>
      <c r="L25" s="277" t="s">
        <v>128</v>
      </c>
    </row>
    <row r="26" spans="1:12" ht="15" customHeight="1">
      <c r="A26" s="45"/>
      <c r="B26" s="422" t="s">
        <v>35</v>
      </c>
      <c r="C26" s="143">
        <v>130</v>
      </c>
      <c r="D26" s="144">
        <v>4.8</v>
      </c>
      <c r="E26" s="144">
        <v>3.9</v>
      </c>
      <c r="F26" s="144">
        <v>22.9</v>
      </c>
      <c r="G26" s="526">
        <v>145.5</v>
      </c>
      <c r="H26" s="144">
        <v>4.2</v>
      </c>
      <c r="I26" s="144">
        <v>18.3</v>
      </c>
      <c r="J26" s="144">
        <v>1</v>
      </c>
      <c r="K26" s="144">
        <v>0</v>
      </c>
      <c r="L26" s="286" t="s">
        <v>131</v>
      </c>
    </row>
    <row r="27" spans="1:12" ht="15" customHeight="1">
      <c r="A27" s="45"/>
      <c r="B27" s="46" t="s">
        <v>129</v>
      </c>
      <c r="C27" s="41">
        <v>20</v>
      </c>
      <c r="D27" s="127">
        <v>0.24</v>
      </c>
      <c r="E27" s="127">
        <v>0.8533333333333333</v>
      </c>
      <c r="F27" s="127">
        <v>1.6</v>
      </c>
      <c r="G27" s="525">
        <v>15</v>
      </c>
      <c r="H27" s="127">
        <v>3.2</v>
      </c>
      <c r="I27" s="127">
        <v>2.3</v>
      </c>
      <c r="J27" s="127">
        <v>0.1</v>
      </c>
      <c r="K27" s="127">
        <v>0.5</v>
      </c>
      <c r="L27" s="277" t="s">
        <v>130</v>
      </c>
    </row>
    <row r="28" spans="1:12" ht="15" customHeight="1">
      <c r="A28" s="45"/>
      <c r="B28" s="223" t="s">
        <v>542</v>
      </c>
      <c r="C28" s="27">
        <v>200</v>
      </c>
      <c r="D28" s="22">
        <v>0.16</v>
      </c>
      <c r="E28" s="22">
        <v>0.12</v>
      </c>
      <c r="F28" s="22">
        <v>19.8</v>
      </c>
      <c r="G28" s="522">
        <v>62</v>
      </c>
      <c r="H28" s="22">
        <v>0.86</v>
      </c>
      <c r="I28" s="22">
        <v>15.9</v>
      </c>
      <c r="J28" s="22">
        <v>4.8</v>
      </c>
      <c r="K28" s="22">
        <v>1</v>
      </c>
      <c r="L28" s="279" t="s">
        <v>457</v>
      </c>
    </row>
    <row r="29" spans="1:12" ht="15" customHeight="1">
      <c r="A29" s="50"/>
      <c r="B29" s="46" t="s">
        <v>37</v>
      </c>
      <c r="C29" s="23">
        <v>15</v>
      </c>
      <c r="D29" s="22">
        <v>1.1785714285714286</v>
      </c>
      <c r="E29" s="22">
        <v>0.2142857142857143</v>
      </c>
      <c r="F29" s="22">
        <v>7.392857142857144</v>
      </c>
      <c r="G29" s="522">
        <v>36</v>
      </c>
      <c r="H29" s="22">
        <v>3.535714285714285</v>
      </c>
      <c r="I29" s="22">
        <v>5.035714285714287</v>
      </c>
      <c r="J29" s="22">
        <v>0.3214285714285714</v>
      </c>
      <c r="K29" s="22">
        <v>0</v>
      </c>
      <c r="L29" s="280" t="s">
        <v>132</v>
      </c>
    </row>
    <row r="30" spans="1:12" ht="15" customHeight="1">
      <c r="A30" s="50"/>
      <c r="B30" s="46" t="s">
        <v>38</v>
      </c>
      <c r="C30" s="33">
        <v>30</v>
      </c>
      <c r="D30" s="93">
        <v>2</v>
      </c>
      <c r="E30" s="93">
        <v>0.3999999999999999</v>
      </c>
      <c r="F30" s="93">
        <v>11.933333333333334</v>
      </c>
      <c r="G30" s="527">
        <v>59.5</v>
      </c>
      <c r="H30" s="93">
        <v>14.133333333333331</v>
      </c>
      <c r="I30" s="93">
        <v>14.733333333333334</v>
      </c>
      <c r="J30" s="93">
        <v>1.2</v>
      </c>
      <c r="K30" s="93">
        <v>0</v>
      </c>
      <c r="L30" s="280" t="s">
        <v>132</v>
      </c>
    </row>
    <row r="31" spans="1:12" ht="15" customHeight="1">
      <c r="A31" s="45" t="s">
        <v>27</v>
      </c>
      <c r="B31" s="51"/>
      <c r="C31" s="7">
        <v>707</v>
      </c>
      <c r="D31" s="8">
        <f aca="true" t="shared" si="2" ref="D31:K31">SUM(D23:D30)</f>
        <v>23.862571428571428</v>
      </c>
      <c r="E31" s="8">
        <f t="shared" si="2"/>
        <v>20.61995238095238</v>
      </c>
      <c r="F31" s="8">
        <f t="shared" si="2"/>
        <v>90.93485714285714</v>
      </c>
      <c r="G31" s="206">
        <f t="shared" si="2"/>
        <v>631.5</v>
      </c>
      <c r="H31" s="8">
        <f t="shared" si="2"/>
        <v>131.6277142857143</v>
      </c>
      <c r="I31" s="8">
        <f t="shared" si="2"/>
        <v>137.01304761904763</v>
      </c>
      <c r="J31" s="8">
        <f t="shared" si="2"/>
        <v>11.00942857142857</v>
      </c>
      <c r="K31" s="8">
        <f t="shared" si="2"/>
        <v>26.36666666666667</v>
      </c>
      <c r="L31" s="282"/>
    </row>
    <row r="32" spans="1:12" ht="15" customHeight="1">
      <c r="A32" s="45" t="s">
        <v>55</v>
      </c>
      <c r="B32" s="53"/>
      <c r="C32" s="53"/>
      <c r="D32" s="3"/>
      <c r="E32" s="3"/>
      <c r="F32" s="3"/>
      <c r="G32" s="10"/>
      <c r="H32" s="3"/>
      <c r="I32" s="3"/>
      <c r="J32" s="3"/>
      <c r="K32" s="3"/>
      <c r="L32" s="282"/>
    </row>
    <row r="33" spans="1:12" ht="15" customHeight="1">
      <c r="A33" s="54"/>
      <c r="B33" s="221" t="s">
        <v>501</v>
      </c>
      <c r="C33" s="27" t="s">
        <v>386</v>
      </c>
      <c r="D33" s="39">
        <v>0.456</v>
      </c>
      <c r="E33" s="39">
        <v>3.648</v>
      </c>
      <c r="F33" s="39">
        <v>1.428</v>
      </c>
      <c r="G33" s="523">
        <v>40</v>
      </c>
      <c r="H33" s="24">
        <v>13.08</v>
      </c>
      <c r="I33" s="24">
        <v>7.98</v>
      </c>
      <c r="J33" s="24">
        <v>0.348</v>
      </c>
      <c r="K33" s="39">
        <v>5.7</v>
      </c>
      <c r="L33" s="287" t="s">
        <v>135</v>
      </c>
    </row>
    <row r="34" spans="1:12" ht="15" customHeight="1">
      <c r="A34" s="54"/>
      <c r="B34" s="223" t="s">
        <v>136</v>
      </c>
      <c r="C34" s="82">
        <v>80</v>
      </c>
      <c r="D34" s="86">
        <v>11.8</v>
      </c>
      <c r="E34" s="86">
        <v>7.990666666666667</v>
      </c>
      <c r="F34" s="86">
        <v>3.8826666666666663</v>
      </c>
      <c r="G34" s="528">
        <v>143</v>
      </c>
      <c r="H34" s="86">
        <v>25.3</v>
      </c>
      <c r="I34" s="86">
        <v>23.7</v>
      </c>
      <c r="J34" s="86">
        <v>0.7</v>
      </c>
      <c r="K34" s="86">
        <v>0.488</v>
      </c>
      <c r="L34" s="288" t="s">
        <v>137</v>
      </c>
    </row>
    <row r="35" spans="1:12" ht="14.25" customHeight="1">
      <c r="A35" s="54"/>
      <c r="B35" s="60" t="s">
        <v>133</v>
      </c>
      <c r="C35" s="82" t="s">
        <v>471</v>
      </c>
      <c r="D35" s="36">
        <v>0.18666666666666668</v>
      </c>
      <c r="E35" s="36">
        <v>5.693333333333334</v>
      </c>
      <c r="F35" s="36">
        <v>14.84</v>
      </c>
      <c r="G35" s="529">
        <v>120</v>
      </c>
      <c r="H35" s="36">
        <v>41.81333333333333</v>
      </c>
      <c r="I35" s="36">
        <v>29.586666666666666</v>
      </c>
      <c r="J35" s="36">
        <v>1.2133333333333334</v>
      </c>
      <c r="K35" s="36">
        <v>12.32</v>
      </c>
      <c r="L35" s="289" t="s">
        <v>134</v>
      </c>
    </row>
    <row r="36" spans="1:12" ht="15" customHeight="1" hidden="1">
      <c r="A36" s="54"/>
      <c r="B36" s="60" t="s">
        <v>144</v>
      </c>
      <c r="C36" s="82">
        <v>2</v>
      </c>
      <c r="D36" s="36">
        <v>0.08</v>
      </c>
      <c r="E36" s="36">
        <v>0</v>
      </c>
      <c r="F36" s="36">
        <v>0.16</v>
      </c>
      <c r="G36" s="529">
        <v>0.92</v>
      </c>
      <c r="H36" s="36">
        <f>H35/1*2</f>
        <v>83.62666666666667</v>
      </c>
      <c r="I36" s="36">
        <f>I35/1*2</f>
        <v>59.17333333333333</v>
      </c>
      <c r="J36" s="36">
        <f>J35/1*2</f>
        <v>2.4266666666666667</v>
      </c>
      <c r="K36" s="36">
        <v>3</v>
      </c>
      <c r="L36" s="289" t="s">
        <v>142</v>
      </c>
    </row>
    <row r="37" spans="1:12" ht="15" customHeight="1">
      <c r="A37" s="50"/>
      <c r="B37" s="224" t="s">
        <v>82</v>
      </c>
      <c r="C37" s="92">
        <v>200</v>
      </c>
      <c r="D37" s="70">
        <v>0.2</v>
      </c>
      <c r="E37" s="70">
        <v>0.1</v>
      </c>
      <c r="F37" s="70">
        <v>10.4</v>
      </c>
      <c r="G37" s="530">
        <v>46</v>
      </c>
      <c r="H37" s="70">
        <v>4.1</v>
      </c>
      <c r="I37" s="70">
        <v>1.2</v>
      </c>
      <c r="J37" s="70">
        <v>0.2</v>
      </c>
      <c r="K37" s="70">
        <v>50.1</v>
      </c>
      <c r="L37" s="290" t="s">
        <v>83</v>
      </c>
    </row>
    <row r="38" spans="1:12" ht="15" customHeight="1">
      <c r="A38" s="50"/>
      <c r="B38" s="220" t="s">
        <v>139</v>
      </c>
      <c r="C38" s="27">
        <v>57</v>
      </c>
      <c r="D38" s="22">
        <v>4.009</v>
      </c>
      <c r="E38" s="22">
        <v>4.5695</v>
      </c>
      <c r="F38" s="22">
        <v>26.904</v>
      </c>
      <c r="G38" s="522">
        <v>164</v>
      </c>
      <c r="H38" s="22">
        <v>15.579999999999995</v>
      </c>
      <c r="I38" s="22">
        <v>14.345</v>
      </c>
      <c r="J38" s="22">
        <v>0.7030000000000001</v>
      </c>
      <c r="K38" s="22">
        <v>0.0095</v>
      </c>
      <c r="L38" s="279" t="s">
        <v>140</v>
      </c>
    </row>
    <row r="39" spans="1:12" ht="15" customHeight="1">
      <c r="A39" s="50"/>
      <c r="B39" s="46" t="s">
        <v>38</v>
      </c>
      <c r="C39" s="27">
        <v>12</v>
      </c>
      <c r="D39" s="22">
        <v>0.8</v>
      </c>
      <c r="E39" s="22">
        <v>0.15999999999999998</v>
      </c>
      <c r="F39" s="22">
        <v>4.7733333333333325</v>
      </c>
      <c r="G39" s="522">
        <v>24</v>
      </c>
      <c r="H39" s="22">
        <v>5.653333333333332</v>
      </c>
      <c r="I39" s="22">
        <v>5.8933333333333335</v>
      </c>
      <c r="J39" s="22">
        <v>0.4799999999999999</v>
      </c>
      <c r="K39" s="22">
        <v>0</v>
      </c>
      <c r="L39" s="280" t="s">
        <v>132</v>
      </c>
    </row>
    <row r="40" spans="1:12" ht="15" customHeight="1">
      <c r="A40" s="45" t="s">
        <v>56</v>
      </c>
      <c r="B40" s="51"/>
      <c r="C40" s="7">
        <v>552</v>
      </c>
      <c r="D40" s="8">
        <f aca="true" t="shared" si="3" ref="D40:K40">SUM(D33:D39)</f>
        <v>17.53166666666667</v>
      </c>
      <c r="E40" s="8">
        <f t="shared" si="3"/>
        <v>22.1615</v>
      </c>
      <c r="F40" s="8">
        <f t="shared" si="3"/>
        <v>62.388</v>
      </c>
      <c r="G40" s="206">
        <f t="shared" si="3"/>
        <v>537.9200000000001</v>
      </c>
      <c r="H40" s="8">
        <f t="shared" si="3"/>
        <v>189.1533333333333</v>
      </c>
      <c r="I40" s="8">
        <f t="shared" si="3"/>
        <v>141.87833333333336</v>
      </c>
      <c r="J40" s="8">
        <f t="shared" si="3"/>
        <v>6.071000000000001</v>
      </c>
      <c r="K40" s="8">
        <f t="shared" si="3"/>
        <v>71.6175</v>
      </c>
      <c r="L40" s="282"/>
    </row>
    <row r="41" spans="1:12" ht="22.5" customHeight="1">
      <c r="A41" s="55" t="s">
        <v>57</v>
      </c>
      <c r="B41" s="56"/>
      <c r="C41" s="57"/>
      <c r="D41" s="8">
        <f aca="true" t="shared" si="4" ref="D41:K41">D18+D21+D31+D40</f>
        <v>55.3322380952381</v>
      </c>
      <c r="E41" s="8">
        <f t="shared" si="4"/>
        <v>49.97645238095238</v>
      </c>
      <c r="F41" s="8">
        <f t="shared" si="4"/>
        <v>209.31585714285714</v>
      </c>
      <c r="G41" s="206">
        <f t="shared" si="4"/>
        <v>1620.02</v>
      </c>
      <c r="H41" s="8">
        <f t="shared" si="4"/>
        <v>721.3650476190477</v>
      </c>
      <c r="I41" s="8">
        <f t="shared" si="4"/>
        <v>340.219380952381</v>
      </c>
      <c r="J41" s="8">
        <f t="shared" si="4"/>
        <v>18.101095238095237</v>
      </c>
      <c r="K41" s="8">
        <f t="shared" si="4"/>
        <v>100.51916666666668</v>
      </c>
      <c r="L41" s="282"/>
    </row>
    <row r="42" spans="1:12" ht="13.5" customHeight="1">
      <c r="A42" s="4"/>
      <c r="B42" s="583"/>
      <c r="C42" s="584"/>
      <c r="D42" s="584"/>
      <c r="E42" s="584"/>
      <c r="F42" s="584"/>
      <c r="G42" s="584"/>
      <c r="H42" s="584"/>
      <c r="I42" s="584"/>
      <c r="J42" s="584"/>
      <c r="K42" s="585"/>
      <c r="L42" s="282"/>
    </row>
    <row r="43" spans="1:12" ht="15" customHeight="1">
      <c r="A43" s="40"/>
      <c r="B43" s="574" t="s">
        <v>29</v>
      </c>
      <c r="C43" s="575"/>
      <c r="D43" s="575"/>
      <c r="E43" s="575"/>
      <c r="F43" s="575"/>
      <c r="G43" s="575"/>
      <c r="H43" s="575"/>
      <c r="I43" s="575"/>
      <c r="J43" s="575"/>
      <c r="K43" s="576"/>
      <c r="L43" s="282"/>
    </row>
    <row r="44" spans="1:12" ht="15" customHeight="1">
      <c r="A44" s="58" t="s">
        <v>52</v>
      </c>
      <c r="B44" s="41"/>
      <c r="C44" s="1"/>
      <c r="D44" s="12"/>
      <c r="E44" s="12"/>
      <c r="F44" s="12"/>
      <c r="G44" s="520"/>
      <c r="H44" s="12"/>
      <c r="I44" s="12"/>
      <c r="J44" s="12"/>
      <c r="K44" s="12"/>
      <c r="L44" s="282"/>
    </row>
    <row r="45" spans="1:12" ht="15" customHeight="1">
      <c r="A45" s="58"/>
      <c r="B45" s="225" t="s">
        <v>478</v>
      </c>
      <c r="C45" s="109">
        <v>20</v>
      </c>
      <c r="D45" s="128">
        <v>0</v>
      </c>
      <c r="E45" s="128">
        <v>0</v>
      </c>
      <c r="F45" s="128">
        <v>13</v>
      </c>
      <c r="G45" s="477">
        <v>49.4</v>
      </c>
      <c r="H45" s="128">
        <v>2.8</v>
      </c>
      <c r="I45" s="128">
        <v>1.4</v>
      </c>
      <c r="J45" s="128">
        <v>0.2</v>
      </c>
      <c r="K45" s="128">
        <v>0.2</v>
      </c>
      <c r="L45" s="291" t="s">
        <v>320</v>
      </c>
    </row>
    <row r="46" spans="1:12" ht="15" customHeight="1">
      <c r="A46" s="44"/>
      <c r="B46" s="324" t="s">
        <v>472</v>
      </c>
      <c r="C46" s="98">
        <v>200</v>
      </c>
      <c r="D46" s="99">
        <v>4.4</v>
      </c>
      <c r="E46" s="99">
        <v>4</v>
      </c>
      <c r="F46" s="99">
        <v>13.466666666666665</v>
      </c>
      <c r="G46" s="531">
        <v>131.5</v>
      </c>
      <c r="H46" s="99">
        <v>171.08</v>
      </c>
      <c r="I46" s="99">
        <v>20.866666666666667</v>
      </c>
      <c r="J46" s="99">
        <v>0.25333333333333335</v>
      </c>
      <c r="K46" s="99">
        <v>0.9333333333333333</v>
      </c>
      <c r="L46" s="292" t="s">
        <v>442</v>
      </c>
    </row>
    <row r="47" spans="1:12" ht="15.75" customHeight="1">
      <c r="A47" s="45"/>
      <c r="B47" s="221" t="s">
        <v>92</v>
      </c>
      <c r="C47" s="23">
        <v>180</v>
      </c>
      <c r="D47" s="34">
        <v>3.8949999999999996</v>
      </c>
      <c r="E47" s="34">
        <v>3.325</v>
      </c>
      <c r="F47" s="34">
        <v>13.965</v>
      </c>
      <c r="G47" s="527">
        <v>101.5</v>
      </c>
      <c r="H47" s="93">
        <v>144.58999999999997</v>
      </c>
      <c r="I47" s="93">
        <v>20.235</v>
      </c>
      <c r="J47" s="93">
        <v>0.475</v>
      </c>
      <c r="K47" s="93">
        <v>1.52</v>
      </c>
      <c r="L47" s="287" t="s">
        <v>16</v>
      </c>
    </row>
    <row r="48" spans="1:12" ht="17.25" customHeight="1">
      <c r="A48" s="45"/>
      <c r="B48" s="220" t="s">
        <v>36</v>
      </c>
      <c r="C48" s="27">
        <v>30</v>
      </c>
      <c r="D48" s="22">
        <v>2.25</v>
      </c>
      <c r="E48" s="22">
        <v>0.8699999999999999</v>
      </c>
      <c r="F48" s="22">
        <v>15.42</v>
      </c>
      <c r="G48" s="522">
        <v>79</v>
      </c>
      <c r="H48" s="22">
        <v>0.06</v>
      </c>
      <c r="I48" s="22">
        <v>0</v>
      </c>
      <c r="J48" s="22">
        <v>0.178125</v>
      </c>
      <c r="K48" s="22">
        <v>0</v>
      </c>
      <c r="L48" s="279" t="s">
        <v>126</v>
      </c>
    </row>
    <row r="49" spans="1:12" ht="15" customHeight="1">
      <c r="A49" s="45" t="s">
        <v>23</v>
      </c>
      <c r="B49" s="56"/>
      <c r="C49" s="7">
        <v>425</v>
      </c>
      <c r="D49" s="52">
        <f aca="true" t="shared" si="5" ref="D49:K49">SUM(D45:D48)</f>
        <v>10.545</v>
      </c>
      <c r="E49" s="52">
        <f t="shared" si="5"/>
        <v>8.195</v>
      </c>
      <c r="F49" s="52">
        <f t="shared" si="5"/>
        <v>55.85166666666667</v>
      </c>
      <c r="G49" s="532">
        <f t="shared" si="5"/>
        <v>361.4</v>
      </c>
      <c r="H49" s="52">
        <f t="shared" si="5"/>
        <v>318.53000000000003</v>
      </c>
      <c r="I49" s="52">
        <f t="shared" si="5"/>
        <v>42.501666666666665</v>
      </c>
      <c r="J49" s="52">
        <f t="shared" si="5"/>
        <v>1.1064583333333333</v>
      </c>
      <c r="K49" s="52">
        <f t="shared" si="5"/>
        <v>2.6533333333333333</v>
      </c>
      <c r="L49" s="282"/>
    </row>
    <row r="50" spans="1:12" ht="15" customHeight="1">
      <c r="A50" s="40" t="s">
        <v>53</v>
      </c>
      <c r="B50" s="1"/>
      <c r="C50" s="1"/>
      <c r="D50" s="5"/>
      <c r="E50" s="5"/>
      <c r="F50" s="5"/>
      <c r="G50" s="520"/>
      <c r="H50" s="5"/>
      <c r="I50" s="5"/>
      <c r="J50" s="5"/>
      <c r="K50" s="5"/>
      <c r="L50" s="282"/>
    </row>
    <row r="51" spans="1:12" ht="15" customHeight="1">
      <c r="A51" s="58"/>
      <c r="B51" s="46" t="s">
        <v>39</v>
      </c>
      <c r="C51" s="53">
        <v>100</v>
      </c>
      <c r="D51" s="3">
        <v>1.5</v>
      </c>
      <c r="E51" s="3">
        <v>0.5</v>
      </c>
      <c r="F51" s="3">
        <v>21</v>
      </c>
      <c r="G51" s="73">
        <v>90.3</v>
      </c>
      <c r="H51" s="3">
        <v>8</v>
      </c>
      <c r="I51" s="3">
        <v>42</v>
      </c>
      <c r="J51" s="3">
        <v>0.6</v>
      </c>
      <c r="K51" s="3">
        <v>10</v>
      </c>
      <c r="L51" s="281" t="s">
        <v>3</v>
      </c>
    </row>
    <row r="52" spans="1:12" ht="15" customHeight="1">
      <c r="A52" s="4"/>
      <c r="B52" s="46"/>
      <c r="C52" s="7">
        <v>100</v>
      </c>
      <c r="D52" s="8">
        <f>SUM(D51)</f>
        <v>1.5</v>
      </c>
      <c r="E52" s="8">
        <f aca="true" t="shared" si="6" ref="E52:K52">SUM(E51)</f>
        <v>0.5</v>
      </c>
      <c r="F52" s="8">
        <f t="shared" si="6"/>
        <v>21</v>
      </c>
      <c r="G52" s="206">
        <f t="shared" si="6"/>
        <v>90.3</v>
      </c>
      <c r="H52" s="8">
        <f t="shared" si="6"/>
        <v>8</v>
      </c>
      <c r="I52" s="8">
        <f t="shared" si="6"/>
        <v>42</v>
      </c>
      <c r="J52" s="8">
        <f t="shared" si="6"/>
        <v>0.6</v>
      </c>
      <c r="K52" s="8">
        <f t="shared" si="6"/>
        <v>10</v>
      </c>
      <c r="L52" s="281"/>
    </row>
    <row r="53" spans="1:12" ht="15" customHeight="1">
      <c r="A53" s="40" t="s">
        <v>54</v>
      </c>
      <c r="B53" s="59"/>
      <c r="C53" s="1"/>
      <c r="D53" s="5"/>
      <c r="E53" s="5"/>
      <c r="F53" s="5"/>
      <c r="G53" s="519"/>
      <c r="H53" s="5"/>
      <c r="I53" s="5"/>
      <c r="J53" s="5"/>
      <c r="K53" s="5"/>
      <c r="L53" s="282"/>
    </row>
    <row r="54" spans="1:12" ht="15" customHeight="1">
      <c r="A54" s="43"/>
      <c r="B54" s="221" t="s">
        <v>306</v>
      </c>
      <c r="C54" s="23" t="s">
        <v>386</v>
      </c>
      <c r="D54" s="26">
        <v>0.48</v>
      </c>
      <c r="E54" s="26">
        <v>4.8</v>
      </c>
      <c r="F54" s="26">
        <v>1.44</v>
      </c>
      <c r="G54" s="523">
        <v>52.4</v>
      </c>
      <c r="H54" s="26">
        <v>21.96</v>
      </c>
      <c r="I54" s="26">
        <v>8.16</v>
      </c>
      <c r="J54" s="26">
        <v>0.36</v>
      </c>
      <c r="K54" s="26">
        <v>7.92</v>
      </c>
      <c r="L54" s="283" t="s">
        <v>307</v>
      </c>
    </row>
    <row r="55" spans="1:12" ht="15" customHeight="1">
      <c r="A55" s="44"/>
      <c r="B55" s="262" t="s">
        <v>447</v>
      </c>
      <c r="C55" s="111" t="s">
        <v>547</v>
      </c>
      <c r="D55" s="22">
        <v>2.432</v>
      </c>
      <c r="E55" s="22">
        <v>2.608</v>
      </c>
      <c r="F55" s="22">
        <v>11.144</v>
      </c>
      <c r="G55" s="522">
        <v>79.4</v>
      </c>
      <c r="H55" s="110">
        <v>63.8</v>
      </c>
      <c r="I55" s="110">
        <v>29.9</v>
      </c>
      <c r="J55" s="110">
        <v>0.7</v>
      </c>
      <c r="K55" s="22">
        <v>6</v>
      </c>
      <c r="L55" s="287" t="s">
        <v>448</v>
      </c>
    </row>
    <row r="56" spans="1:12" ht="15" customHeight="1">
      <c r="A56" s="44"/>
      <c r="B56" s="226" t="s">
        <v>308</v>
      </c>
      <c r="C56" s="23" t="s">
        <v>392</v>
      </c>
      <c r="D56" s="22">
        <v>11.8</v>
      </c>
      <c r="E56" s="22">
        <v>12.9</v>
      </c>
      <c r="F56" s="22">
        <v>14.9</v>
      </c>
      <c r="G56" s="522">
        <v>223.4</v>
      </c>
      <c r="H56" s="22">
        <v>57.8</v>
      </c>
      <c r="I56" s="22">
        <v>28.4</v>
      </c>
      <c r="J56" s="22">
        <v>1.3</v>
      </c>
      <c r="K56" s="22">
        <v>1.1</v>
      </c>
      <c r="L56" s="283" t="s">
        <v>309</v>
      </c>
    </row>
    <row r="57" spans="1:12" ht="15" customHeight="1">
      <c r="A57" s="45"/>
      <c r="B57" s="223" t="s">
        <v>6</v>
      </c>
      <c r="C57" s="35">
        <v>140</v>
      </c>
      <c r="D57" s="86">
        <v>2.853846153846154</v>
      </c>
      <c r="E57" s="86">
        <v>4.4799999999999995</v>
      </c>
      <c r="F57" s="86">
        <v>19.08307692307692</v>
      </c>
      <c r="G57" s="528">
        <v>128.4</v>
      </c>
      <c r="H57" s="86">
        <v>34.46153846153846</v>
      </c>
      <c r="I57" s="86">
        <v>25.846153846153847</v>
      </c>
      <c r="J57" s="86">
        <v>0.9692307692307692</v>
      </c>
      <c r="K57" s="86">
        <v>16.907692307692308</v>
      </c>
      <c r="L57" s="288" t="s">
        <v>310</v>
      </c>
    </row>
    <row r="58" spans="1:12" ht="15" customHeight="1">
      <c r="A58" s="45"/>
      <c r="B58" s="60" t="s">
        <v>540</v>
      </c>
      <c r="C58" s="35">
        <v>200</v>
      </c>
      <c r="D58" s="36">
        <v>0.44</v>
      </c>
      <c r="E58" s="36">
        <v>0.02</v>
      </c>
      <c r="F58" s="36">
        <v>25.9</v>
      </c>
      <c r="G58" s="529">
        <v>105.4</v>
      </c>
      <c r="H58" s="36">
        <v>31.8</v>
      </c>
      <c r="I58" s="36">
        <v>6</v>
      </c>
      <c r="J58" s="36">
        <v>1.2</v>
      </c>
      <c r="K58" s="36">
        <v>0.4</v>
      </c>
      <c r="L58" s="289" t="s">
        <v>9</v>
      </c>
    </row>
    <row r="59" spans="1:12" ht="15" customHeight="1">
      <c r="A59" s="45"/>
      <c r="B59" s="46" t="s">
        <v>38</v>
      </c>
      <c r="C59" s="23">
        <v>20</v>
      </c>
      <c r="D59" s="22">
        <v>1.3333333333333333</v>
      </c>
      <c r="E59" s="22">
        <v>0.2666666666666666</v>
      </c>
      <c r="F59" s="22">
        <v>7.955555555555557</v>
      </c>
      <c r="G59" s="522">
        <v>40.4</v>
      </c>
      <c r="H59" s="22">
        <v>9.42222222222222</v>
      </c>
      <c r="I59" s="22">
        <v>9.822222222222223</v>
      </c>
      <c r="J59" s="22">
        <v>0.8</v>
      </c>
      <c r="K59" s="22">
        <v>0</v>
      </c>
      <c r="L59" s="280" t="s">
        <v>132</v>
      </c>
    </row>
    <row r="60" spans="1:12" ht="15" customHeight="1">
      <c r="A60" s="45" t="s">
        <v>27</v>
      </c>
      <c r="B60" s="47"/>
      <c r="C60" s="7">
        <v>801</v>
      </c>
      <c r="D60" s="8">
        <f aca="true" t="shared" si="7" ref="D60:K60">SUM(D54:D59)</f>
        <v>19.339179487179486</v>
      </c>
      <c r="E60" s="8">
        <f t="shared" si="7"/>
        <v>25.074666666666666</v>
      </c>
      <c r="F60" s="8">
        <f t="shared" si="7"/>
        <v>80.42263247863248</v>
      </c>
      <c r="G60" s="206">
        <f t="shared" si="7"/>
        <v>629.4</v>
      </c>
      <c r="H60" s="8">
        <f t="shared" si="7"/>
        <v>219.24376068376068</v>
      </c>
      <c r="I60" s="8">
        <f t="shared" si="7"/>
        <v>108.12837606837607</v>
      </c>
      <c r="J60" s="8">
        <f t="shared" si="7"/>
        <v>5.32923076923077</v>
      </c>
      <c r="K60" s="8">
        <f t="shared" si="7"/>
        <v>32.32769230769231</v>
      </c>
      <c r="L60" s="282"/>
    </row>
    <row r="61" spans="1:12" ht="15" customHeight="1">
      <c r="A61" s="45"/>
      <c r="B61" s="53"/>
      <c r="C61" s="1"/>
      <c r="D61" s="5"/>
      <c r="E61" s="5"/>
      <c r="F61" s="5"/>
      <c r="G61" s="519"/>
      <c r="H61" s="5"/>
      <c r="I61" s="5"/>
      <c r="J61" s="5"/>
      <c r="K61" s="5"/>
      <c r="L61" s="282"/>
    </row>
    <row r="62" spans="1:12" ht="15" customHeight="1">
      <c r="A62" s="45" t="s">
        <v>55</v>
      </c>
      <c r="B62" s="228" t="s">
        <v>502</v>
      </c>
      <c r="C62" s="111" t="s">
        <v>386</v>
      </c>
      <c r="D62" s="193">
        <v>0.6</v>
      </c>
      <c r="E62" s="193">
        <v>3.36</v>
      </c>
      <c r="F62" s="193">
        <v>2.64</v>
      </c>
      <c r="G62" s="533">
        <v>46.4</v>
      </c>
      <c r="H62" s="193">
        <v>4.56</v>
      </c>
      <c r="I62" s="193">
        <v>2.64</v>
      </c>
      <c r="J62" s="193">
        <v>0.6</v>
      </c>
      <c r="K62" s="193">
        <v>10.56</v>
      </c>
      <c r="L62" s="293" t="s">
        <v>105</v>
      </c>
    </row>
    <row r="63" spans="1:12" ht="15" customHeight="1">
      <c r="A63" s="54"/>
      <c r="B63" s="220" t="s">
        <v>312</v>
      </c>
      <c r="C63" s="35">
        <v>80</v>
      </c>
      <c r="D63" s="69">
        <v>11.3</v>
      </c>
      <c r="E63" s="69">
        <v>5.9</v>
      </c>
      <c r="F63" s="69">
        <v>8.3</v>
      </c>
      <c r="G63" s="529">
        <v>159.4</v>
      </c>
      <c r="H63" s="69">
        <v>52.8</v>
      </c>
      <c r="I63" s="69">
        <v>37.8</v>
      </c>
      <c r="J63" s="69">
        <v>0.7</v>
      </c>
      <c r="K63" s="69">
        <v>0.4</v>
      </c>
      <c r="L63" s="288" t="s">
        <v>313</v>
      </c>
    </row>
    <row r="64" spans="1:12" ht="15" customHeight="1">
      <c r="A64" s="54"/>
      <c r="B64" s="60" t="s">
        <v>348</v>
      </c>
      <c r="C64" s="35" t="s">
        <v>380</v>
      </c>
      <c r="D64" s="36">
        <v>2.7</v>
      </c>
      <c r="E64" s="36">
        <v>4.2</v>
      </c>
      <c r="F64" s="36">
        <v>8.4</v>
      </c>
      <c r="G64" s="529">
        <v>82.4</v>
      </c>
      <c r="H64" s="36">
        <v>69.9</v>
      </c>
      <c r="I64" s="36">
        <v>26.5</v>
      </c>
      <c r="J64" s="36">
        <v>1.1</v>
      </c>
      <c r="K64" s="36">
        <v>23.1</v>
      </c>
      <c r="L64" s="289" t="s">
        <v>314</v>
      </c>
    </row>
    <row r="65" spans="1:12" ht="15" customHeight="1">
      <c r="A65" s="54"/>
      <c r="B65" s="229" t="s">
        <v>79</v>
      </c>
      <c r="C65" s="33" t="s">
        <v>389</v>
      </c>
      <c r="D65" s="34">
        <v>0.13</v>
      </c>
      <c r="E65" s="34">
        <v>0.07</v>
      </c>
      <c r="F65" s="34">
        <v>18.9</v>
      </c>
      <c r="G65" s="533">
        <v>47.4</v>
      </c>
      <c r="H65" s="34">
        <v>13.7</v>
      </c>
      <c r="I65" s="34">
        <v>2.8</v>
      </c>
      <c r="J65" s="34">
        <v>0.6</v>
      </c>
      <c r="K65" s="34">
        <v>0.27</v>
      </c>
      <c r="L65" s="294" t="s">
        <v>460</v>
      </c>
    </row>
    <row r="66" spans="1:12" ht="15" customHeight="1">
      <c r="A66" s="54"/>
      <c r="B66" s="230" t="s">
        <v>315</v>
      </c>
      <c r="C66" s="96">
        <v>50</v>
      </c>
      <c r="D66" s="68">
        <v>3.95</v>
      </c>
      <c r="E66" s="68">
        <v>4.06</v>
      </c>
      <c r="F66" s="116">
        <v>27.24</v>
      </c>
      <c r="G66" s="534">
        <v>158.4</v>
      </c>
      <c r="H66" s="116">
        <v>11.2</v>
      </c>
      <c r="I66" s="116">
        <v>14.2</v>
      </c>
      <c r="J66" s="116">
        <v>0.7</v>
      </c>
      <c r="K66" s="116">
        <v>0</v>
      </c>
      <c r="L66" s="295" t="s">
        <v>316</v>
      </c>
    </row>
    <row r="67" spans="1:12" ht="15" customHeight="1">
      <c r="A67" s="54"/>
      <c r="B67" s="192" t="s">
        <v>38</v>
      </c>
      <c r="C67" s="33">
        <v>22</v>
      </c>
      <c r="D67" s="93">
        <v>1.4666666666666666</v>
      </c>
      <c r="E67" s="93">
        <v>0.2933333333333333</v>
      </c>
      <c r="F67" s="93">
        <v>8.751111111111111</v>
      </c>
      <c r="G67" s="527">
        <v>44.4</v>
      </c>
      <c r="H67" s="93">
        <v>10.364444444444443</v>
      </c>
      <c r="I67" s="93">
        <v>10.804444444444446</v>
      </c>
      <c r="J67" s="93">
        <v>0.8800000000000001</v>
      </c>
      <c r="K67" s="93">
        <v>0</v>
      </c>
      <c r="L67" s="280" t="s">
        <v>132</v>
      </c>
    </row>
    <row r="68" spans="1:13" s="11" customFormat="1" ht="15" customHeight="1">
      <c r="A68" s="45" t="s">
        <v>56</v>
      </c>
      <c r="B68" s="51"/>
      <c r="C68" s="7">
        <v>559</v>
      </c>
      <c r="D68" s="8">
        <f aca="true" t="shared" si="8" ref="D68:K68">SUM(D62:D67)</f>
        <v>20.14666666666667</v>
      </c>
      <c r="E68" s="8">
        <f t="shared" si="8"/>
        <v>17.883333333333333</v>
      </c>
      <c r="F68" s="8">
        <f t="shared" si="8"/>
        <v>74.23111111111112</v>
      </c>
      <c r="G68" s="206">
        <f t="shared" si="8"/>
        <v>538.4</v>
      </c>
      <c r="H68" s="8">
        <f t="shared" si="8"/>
        <v>162.52444444444444</v>
      </c>
      <c r="I68" s="8">
        <f t="shared" si="8"/>
        <v>94.74444444444444</v>
      </c>
      <c r="J68" s="8">
        <f t="shared" si="8"/>
        <v>4.58</v>
      </c>
      <c r="K68" s="8">
        <f t="shared" si="8"/>
        <v>34.330000000000005</v>
      </c>
      <c r="L68" s="296"/>
      <c r="M68" s="204"/>
    </row>
    <row r="69" spans="1:13" s="11" customFormat="1" ht="31.5" customHeight="1">
      <c r="A69" s="55" t="s">
        <v>58</v>
      </c>
      <c r="B69" s="56"/>
      <c r="C69" s="7"/>
      <c r="D69" s="8">
        <f aca="true" t="shared" si="9" ref="D69:K69">SUM(D49,D52,D60,D68)</f>
        <v>51.530846153846156</v>
      </c>
      <c r="E69" s="8">
        <f t="shared" si="9"/>
        <v>51.653</v>
      </c>
      <c r="F69" s="8">
        <f t="shared" si="9"/>
        <v>231.50541025641027</v>
      </c>
      <c r="G69" s="206">
        <f t="shared" si="9"/>
        <v>1619.5</v>
      </c>
      <c r="H69" s="8">
        <f t="shared" si="9"/>
        <v>708.2982051282052</v>
      </c>
      <c r="I69" s="8">
        <f t="shared" si="9"/>
        <v>287.3744871794872</v>
      </c>
      <c r="J69" s="8">
        <f t="shared" si="9"/>
        <v>11.615689102564103</v>
      </c>
      <c r="K69" s="8">
        <f t="shared" si="9"/>
        <v>79.31102564102565</v>
      </c>
      <c r="L69" s="297"/>
      <c r="M69" s="204"/>
    </row>
    <row r="70" spans="1:12" ht="15" customHeight="1">
      <c r="A70" s="45"/>
      <c r="B70" s="583"/>
      <c r="C70" s="584"/>
      <c r="D70" s="584"/>
      <c r="E70" s="584"/>
      <c r="F70" s="584"/>
      <c r="G70" s="584"/>
      <c r="H70" s="584"/>
      <c r="I70" s="584"/>
      <c r="J70" s="584"/>
      <c r="K70" s="585"/>
      <c r="L70" s="282"/>
    </row>
    <row r="71" spans="1:12" ht="15" customHeight="1">
      <c r="A71" s="55"/>
      <c r="B71" s="599" t="s">
        <v>76</v>
      </c>
      <c r="C71" s="599"/>
      <c r="D71" s="599"/>
      <c r="E71" s="599"/>
      <c r="F71" s="599"/>
      <c r="G71" s="599"/>
      <c r="H71" s="599"/>
      <c r="I71" s="599"/>
      <c r="J71" s="599"/>
      <c r="K71" s="599"/>
      <c r="L71" s="282"/>
    </row>
    <row r="72" spans="1:16" ht="15" customHeight="1">
      <c r="A72" s="40" t="s">
        <v>52</v>
      </c>
      <c r="B72" s="41"/>
      <c r="C72" s="1"/>
      <c r="D72" s="12"/>
      <c r="E72" s="12"/>
      <c r="F72" s="12"/>
      <c r="G72" s="520"/>
      <c r="H72" s="12"/>
      <c r="I72" s="12"/>
      <c r="J72" s="12"/>
      <c r="K72" s="12"/>
      <c r="L72" s="282"/>
      <c r="N72" s="203"/>
      <c r="O72" s="203"/>
      <c r="P72" s="203"/>
    </row>
    <row r="73" spans="1:12" ht="15" customHeight="1">
      <c r="A73" s="4"/>
      <c r="B73" s="221" t="s">
        <v>304</v>
      </c>
      <c r="C73" s="23">
        <v>7</v>
      </c>
      <c r="D73" s="22">
        <v>1.8462499999999997</v>
      </c>
      <c r="E73" s="22">
        <v>1.8637499999999998</v>
      </c>
      <c r="F73" s="84">
        <v>0</v>
      </c>
      <c r="G73" s="522">
        <v>24.033333333333335</v>
      </c>
      <c r="H73" s="84">
        <v>0</v>
      </c>
      <c r="I73" s="84">
        <v>0</v>
      </c>
      <c r="J73" s="84">
        <v>0</v>
      </c>
      <c r="K73" s="84">
        <v>0.0525</v>
      </c>
      <c r="L73" s="287" t="s">
        <v>305</v>
      </c>
    </row>
    <row r="74" spans="1:13" ht="15" customHeight="1">
      <c r="A74" s="4"/>
      <c r="B74" s="228" t="s">
        <v>523</v>
      </c>
      <c r="C74" s="27" t="s">
        <v>524</v>
      </c>
      <c r="D74" s="84">
        <v>15</v>
      </c>
      <c r="E74" s="84">
        <v>21.3</v>
      </c>
      <c r="F74" s="84">
        <v>6.3</v>
      </c>
      <c r="G74" s="522">
        <v>220.5</v>
      </c>
      <c r="H74" s="84">
        <v>216</v>
      </c>
      <c r="I74" s="84">
        <v>25.5</v>
      </c>
      <c r="J74" s="84">
        <v>3.7</v>
      </c>
      <c r="K74" s="84">
        <v>3.9</v>
      </c>
      <c r="L74" s="287" t="s">
        <v>525</v>
      </c>
      <c r="M74" s="203" t="s">
        <v>422</v>
      </c>
    </row>
    <row r="75" spans="1:12" ht="15" customHeight="1">
      <c r="A75" s="4"/>
      <c r="B75" s="231" t="s">
        <v>138</v>
      </c>
      <c r="C75" s="27" t="s">
        <v>473</v>
      </c>
      <c r="D75" s="22">
        <v>0.1235</v>
      </c>
      <c r="E75" s="22">
        <v>0.019000000000000003</v>
      </c>
      <c r="F75" s="22">
        <v>7.98</v>
      </c>
      <c r="G75" s="522">
        <v>32</v>
      </c>
      <c r="H75" s="22">
        <v>13.49</v>
      </c>
      <c r="I75" s="22">
        <v>2.28</v>
      </c>
      <c r="J75" s="22">
        <v>0.285</v>
      </c>
      <c r="K75" s="22">
        <v>2.983</v>
      </c>
      <c r="L75" s="279" t="s">
        <v>12</v>
      </c>
    </row>
    <row r="76" spans="1:12" ht="15" customHeight="1">
      <c r="A76" s="4"/>
      <c r="B76" s="46" t="s">
        <v>36</v>
      </c>
      <c r="C76" s="33">
        <v>32</v>
      </c>
      <c r="D76" s="93">
        <v>2.4</v>
      </c>
      <c r="E76" s="93">
        <v>0.9279999999999999</v>
      </c>
      <c r="F76" s="93">
        <v>16.448</v>
      </c>
      <c r="G76" s="527">
        <v>84</v>
      </c>
      <c r="H76" s="93">
        <v>0.064</v>
      </c>
      <c r="I76" s="93">
        <v>0</v>
      </c>
      <c r="J76" s="93">
        <v>0.19</v>
      </c>
      <c r="K76" s="93">
        <v>0</v>
      </c>
      <c r="L76" s="280" t="s">
        <v>7</v>
      </c>
    </row>
    <row r="77" spans="1:12" ht="15" customHeight="1">
      <c r="A77" s="45" t="s">
        <v>23</v>
      </c>
      <c r="B77" s="56"/>
      <c r="C77" s="7">
        <v>400</v>
      </c>
      <c r="D77" s="8">
        <f aca="true" t="shared" si="10" ref="D77:K77">SUM(D73:D76)</f>
        <v>19.36975</v>
      </c>
      <c r="E77" s="8">
        <f t="shared" si="10"/>
        <v>24.11075</v>
      </c>
      <c r="F77" s="8">
        <f t="shared" si="10"/>
        <v>30.728</v>
      </c>
      <c r="G77" s="206">
        <f t="shared" si="10"/>
        <v>360.5333333333333</v>
      </c>
      <c r="H77" s="8">
        <f t="shared" si="10"/>
        <v>229.554</v>
      </c>
      <c r="I77" s="8">
        <f t="shared" si="10"/>
        <v>27.78</v>
      </c>
      <c r="J77" s="8">
        <f t="shared" si="10"/>
        <v>4.175000000000001</v>
      </c>
      <c r="K77" s="8">
        <f t="shared" si="10"/>
        <v>6.9355</v>
      </c>
      <c r="L77" s="282"/>
    </row>
    <row r="78" spans="1:12" ht="15" customHeight="1">
      <c r="A78" s="40" t="s">
        <v>53</v>
      </c>
      <c r="B78" s="1"/>
      <c r="C78" s="1"/>
      <c r="D78" s="5"/>
      <c r="E78" s="5"/>
      <c r="F78" s="5"/>
      <c r="G78" s="520"/>
      <c r="H78" s="5"/>
      <c r="I78" s="5"/>
      <c r="J78" s="5"/>
      <c r="K78" s="5"/>
      <c r="L78" s="282"/>
    </row>
    <row r="79" spans="1:12" ht="15" customHeight="1">
      <c r="A79" s="58"/>
      <c r="B79" s="42" t="s">
        <v>323</v>
      </c>
      <c r="C79" s="41">
        <v>136</v>
      </c>
      <c r="D79" s="127">
        <v>2.6</v>
      </c>
      <c r="E79" s="127">
        <v>1.5</v>
      </c>
      <c r="F79" s="127">
        <v>14.1</v>
      </c>
      <c r="G79" s="525">
        <v>90</v>
      </c>
      <c r="H79" s="127">
        <v>61</v>
      </c>
      <c r="I79" s="127">
        <v>25.2</v>
      </c>
      <c r="J79" s="127">
        <v>1.3</v>
      </c>
      <c r="K79" s="127">
        <v>22.8</v>
      </c>
      <c r="L79" s="281" t="s">
        <v>324</v>
      </c>
    </row>
    <row r="80" spans="1:12" ht="15" customHeight="1">
      <c r="A80" s="4"/>
      <c r="B80" s="42"/>
      <c r="C80" s="7">
        <f>SUM(C79)</f>
        <v>136</v>
      </c>
      <c r="D80" s="8">
        <f>SUM(D79)</f>
        <v>2.6</v>
      </c>
      <c r="E80" s="8">
        <f aca="true" t="shared" si="11" ref="E80:K80">SUM(E79)</f>
        <v>1.5</v>
      </c>
      <c r="F80" s="8">
        <f t="shared" si="11"/>
        <v>14.1</v>
      </c>
      <c r="G80" s="206">
        <f t="shared" si="11"/>
        <v>90</v>
      </c>
      <c r="H80" s="8">
        <f t="shared" si="11"/>
        <v>61</v>
      </c>
      <c r="I80" s="8">
        <f t="shared" si="11"/>
        <v>25.2</v>
      </c>
      <c r="J80" s="8">
        <f t="shared" si="11"/>
        <v>1.3</v>
      </c>
      <c r="K80" s="8">
        <f t="shared" si="11"/>
        <v>22.8</v>
      </c>
      <c r="L80" s="298"/>
    </row>
    <row r="81" spans="1:12" ht="15" customHeight="1">
      <c r="A81" s="40" t="s">
        <v>54</v>
      </c>
      <c r="B81" s="41"/>
      <c r="C81" s="1"/>
      <c r="D81" s="5"/>
      <c r="E81" s="5"/>
      <c r="F81" s="5"/>
      <c r="G81" s="519"/>
      <c r="H81" s="5"/>
      <c r="I81" s="5"/>
      <c r="J81" s="5"/>
      <c r="K81" s="5"/>
      <c r="L81" s="282"/>
    </row>
    <row r="82" spans="1:12" ht="13.5" customHeight="1">
      <c r="A82" s="4"/>
      <c r="B82" s="221" t="s">
        <v>364</v>
      </c>
      <c r="C82" s="23" t="s">
        <v>386</v>
      </c>
      <c r="D82" s="39">
        <v>1.1280000000000001</v>
      </c>
      <c r="E82" s="39">
        <v>3.24</v>
      </c>
      <c r="F82" s="39">
        <v>6.935999999999999</v>
      </c>
      <c r="G82" s="523">
        <v>59.5</v>
      </c>
      <c r="H82" s="24">
        <v>2.676</v>
      </c>
      <c r="I82" s="24">
        <v>0.84</v>
      </c>
      <c r="J82" s="24">
        <v>0.0192</v>
      </c>
      <c r="K82" s="39">
        <v>1.8</v>
      </c>
      <c r="L82" s="287" t="s">
        <v>347</v>
      </c>
    </row>
    <row r="83" spans="1:12" ht="15" customHeight="1" hidden="1">
      <c r="A83" s="4"/>
      <c r="B83" s="221" t="s">
        <v>144</v>
      </c>
      <c r="C83" s="23">
        <v>2</v>
      </c>
      <c r="D83" s="39">
        <v>0.08</v>
      </c>
      <c r="E83" s="39">
        <v>0</v>
      </c>
      <c r="F83" s="39">
        <v>0.16</v>
      </c>
      <c r="G83" s="523">
        <v>0.5</v>
      </c>
      <c r="H83" s="24">
        <v>60.8</v>
      </c>
      <c r="I83" s="24">
        <v>56.4</v>
      </c>
      <c r="J83" s="24">
        <v>3.2</v>
      </c>
      <c r="K83" s="39">
        <v>3</v>
      </c>
      <c r="L83" s="287" t="s">
        <v>142</v>
      </c>
    </row>
    <row r="84" spans="1:12" ht="15" customHeight="1">
      <c r="A84" s="4"/>
      <c r="B84" s="226" t="s">
        <v>526</v>
      </c>
      <c r="C84" s="27" t="s">
        <v>116</v>
      </c>
      <c r="D84" s="22">
        <v>4.392</v>
      </c>
      <c r="E84" s="22">
        <v>4.215999999999999</v>
      </c>
      <c r="F84" s="22">
        <v>13.056000000000003</v>
      </c>
      <c r="G84" s="522">
        <v>107</v>
      </c>
      <c r="H84" s="39">
        <v>30.4</v>
      </c>
      <c r="I84" s="39">
        <v>28.2</v>
      </c>
      <c r="J84" s="39">
        <v>1.6</v>
      </c>
      <c r="K84" s="22">
        <v>3.7</v>
      </c>
      <c r="L84" s="287" t="s">
        <v>95</v>
      </c>
    </row>
    <row r="85" spans="1:12" ht="1.5" customHeight="1" hidden="1">
      <c r="A85" s="4"/>
      <c r="B85" s="226" t="s">
        <v>144</v>
      </c>
      <c r="C85" s="27">
        <v>2</v>
      </c>
      <c r="D85" s="22">
        <v>0.08</v>
      </c>
      <c r="E85" s="22">
        <v>0</v>
      </c>
      <c r="F85" s="22">
        <v>0.16</v>
      </c>
      <c r="G85" s="522">
        <v>0.92</v>
      </c>
      <c r="H85" s="39">
        <f>H84/1*2</f>
        <v>60.8</v>
      </c>
      <c r="I85" s="39">
        <f>I84/1*2</f>
        <v>56.4</v>
      </c>
      <c r="J85" s="39">
        <f>J84/1*2</f>
        <v>3.2</v>
      </c>
      <c r="K85" s="22">
        <v>3</v>
      </c>
      <c r="L85" s="287" t="s">
        <v>142</v>
      </c>
    </row>
    <row r="86" spans="1:12" ht="15" customHeight="1">
      <c r="A86" s="4"/>
      <c r="B86" s="229" t="s">
        <v>100</v>
      </c>
      <c r="C86" s="413">
        <v>80</v>
      </c>
      <c r="D86" s="265">
        <v>18.85</v>
      </c>
      <c r="E86" s="265">
        <v>6.19</v>
      </c>
      <c r="F86" s="265">
        <v>0.88</v>
      </c>
      <c r="G86" s="535">
        <v>134</v>
      </c>
      <c r="H86" s="265">
        <v>30.5</v>
      </c>
      <c r="I86" s="265">
        <v>21.5</v>
      </c>
      <c r="J86" s="265">
        <v>1.9</v>
      </c>
      <c r="K86" s="265">
        <v>0.2</v>
      </c>
      <c r="L86" s="288" t="s">
        <v>101</v>
      </c>
    </row>
    <row r="87" spans="1:12" ht="15" customHeight="1">
      <c r="A87" s="4"/>
      <c r="B87" s="409" t="s">
        <v>81</v>
      </c>
      <c r="C87" s="414">
        <v>150</v>
      </c>
      <c r="D87" s="268">
        <v>2.565</v>
      </c>
      <c r="E87" s="268">
        <v>4.17</v>
      </c>
      <c r="F87" s="268">
        <v>26.58</v>
      </c>
      <c r="G87" s="536">
        <v>154.5</v>
      </c>
      <c r="H87" s="268">
        <v>4.1</v>
      </c>
      <c r="I87" s="268">
        <v>18</v>
      </c>
      <c r="J87" s="268">
        <v>0.4</v>
      </c>
      <c r="K87" s="268">
        <v>0</v>
      </c>
      <c r="L87" s="410" t="s">
        <v>41</v>
      </c>
    </row>
    <row r="88" spans="1:12" ht="15" customHeight="1">
      <c r="A88" s="4"/>
      <c r="B88" s="411" t="s">
        <v>87</v>
      </c>
      <c r="C88" s="89">
        <v>200</v>
      </c>
      <c r="D88" s="90">
        <v>0.2</v>
      </c>
      <c r="E88" s="90">
        <v>0</v>
      </c>
      <c r="F88" s="90">
        <v>21.7</v>
      </c>
      <c r="G88" s="476">
        <v>77</v>
      </c>
      <c r="H88" s="90">
        <v>9.3</v>
      </c>
      <c r="I88" s="90">
        <v>2.2</v>
      </c>
      <c r="J88" s="90">
        <v>0.1</v>
      </c>
      <c r="K88" s="90">
        <v>9.5</v>
      </c>
      <c r="L88" s="412" t="s">
        <v>463</v>
      </c>
    </row>
    <row r="89" spans="1:12" ht="15" customHeight="1">
      <c r="A89" s="4"/>
      <c r="B89" s="46" t="s">
        <v>37</v>
      </c>
      <c r="C89" s="23">
        <v>22</v>
      </c>
      <c r="D89" s="22">
        <f>D118*22/21</f>
        <v>1.2571428571428573</v>
      </c>
      <c r="E89" s="22">
        <f aca="true" t="shared" si="12" ref="E89:K89">E118*22/21</f>
        <v>0.2285714285714285</v>
      </c>
      <c r="F89" s="22">
        <f t="shared" si="12"/>
        <v>7.885714285714287</v>
      </c>
      <c r="G89" s="522">
        <v>53</v>
      </c>
      <c r="H89" s="22">
        <f t="shared" si="12"/>
        <v>3.77142857142857</v>
      </c>
      <c r="I89" s="22">
        <f t="shared" si="12"/>
        <v>5.371428571428574</v>
      </c>
      <c r="J89" s="22">
        <f t="shared" si="12"/>
        <v>0.3428571428571429</v>
      </c>
      <c r="K89" s="22">
        <f t="shared" si="12"/>
        <v>0</v>
      </c>
      <c r="L89" s="280" t="s">
        <v>21</v>
      </c>
    </row>
    <row r="90" spans="1:13" s="344" customFormat="1" ht="15" customHeight="1">
      <c r="A90" s="2"/>
      <c r="B90" s="46" t="s">
        <v>38</v>
      </c>
      <c r="C90" s="197">
        <v>22</v>
      </c>
      <c r="D90" s="341">
        <v>1.4666666666666666</v>
      </c>
      <c r="E90" s="341">
        <v>0.2933333333333333</v>
      </c>
      <c r="F90" s="341">
        <v>8.751111111111111</v>
      </c>
      <c r="G90" s="537">
        <v>43.5</v>
      </c>
      <c r="H90" s="341">
        <v>10.364444444444443</v>
      </c>
      <c r="I90" s="341">
        <v>10.804444444444446</v>
      </c>
      <c r="J90" s="341">
        <v>0.88</v>
      </c>
      <c r="K90" s="341">
        <v>0</v>
      </c>
      <c r="L90" s="342" t="s">
        <v>22</v>
      </c>
      <c r="M90" s="343"/>
    </row>
    <row r="91" spans="1:12" ht="14.25" customHeight="1">
      <c r="A91" s="45" t="s">
        <v>27</v>
      </c>
      <c r="B91" s="56"/>
      <c r="C91" s="9">
        <v>737</v>
      </c>
      <c r="D91" s="8">
        <f aca="true" t="shared" si="13" ref="D91:K91">SUM(D82:D90)</f>
        <v>30.018809523809523</v>
      </c>
      <c r="E91" s="8">
        <f t="shared" si="13"/>
        <v>18.337904761904763</v>
      </c>
      <c r="F91" s="8">
        <f t="shared" si="13"/>
        <v>86.1088253968254</v>
      </c>
      <c r="G91" s="206">
        <f t="shared" si="13"/>
        <v>629.92</v>
      </c>
      <c r="H91" s="8">
        <f t="shared" si="13"/>
        <v>212.711873015873</v>
      </c>
      <c r="I91" s="8">
        <f t="shared" si="13"/>
        <v>199.715873015873</v>
      </c>
      <c r="J91" s="8">
        <f t="shared" si="13"/>
        <v>11.642057142857146</v>
      </c>
      <c r="K91" s="8">
        <f t="shared" si="13"/>
        <v>21.2</v>
      </c>
      <c r="L91" s="282"/>
    </row>
    <row r="92" spans="1:12" ht="15" customHeight="1">
      <c r="A92" s="45" t="s">
        <v>55</v>
      </c>
      <c r="B92" s="1"/>
      <c r="C92" s="41"/>
      <c r="D92" s="127"/>
      <c r="E92" s="127"/>
      <c r="F92" s="127"/>
      <c r="G92" s="538"/>
      <c r="H92" s="127"/>
      <c r="I92" s="127"/>
      <c r="J92" s="127"/>
      <c r="K92" s="127"/>
      <c r="L92" s="282"/>
    </row>
    <row r="93" spans="1:12" ht="15" customHeight="1">
      <c r="A93" s="61"/>
      <c r="B93" s="221" t="s">
        <v>453</v>
      </c>
      <c r="C93" s="23">
        <v>60</v>
      </c>
      <c r="D93" s="26">
        <v>0.48</v>
      </c>
      <c r="E93" s="26">
        <v>3.12</v>
      </c>
      <c r="F93" s="26">
        <v>3.12</v>
      </c>
      <c r="G93" s="523">
        <v>42.5</v>
      </c>
      <c r="H93" s="24">
        <v>13.08</v>
      </c>
      <c r="I93" s="24">
        <v>11.76</v>
      </c>
      <c r="J93" s="24">
        <v>0.6</v>
      </c>
      <c r="K93" s="24">
        <v>7.56</v>
      </c>
      <c r="L93" s="299" t="s">
        <v>455</v>
      </c>
    </row>
    <row r="94" spans="1:12" ht="15" customHeight="1">
      <c r="A94" s="4"/>
      <c r="B94" s="232" t="s">
        <v>426</v>
      </c>
      <c r="C94" s="103">
        <v>200</v>
      </c>
      <c r="D94" s="105">
        <v>36.266666666666666</v>
      </c>
      <c r="E94" s="105">
        <v>27.866666666666667</v>
      </c>
      <c r="F94" s="105">
        <v>42.266666666666666</v>
      </c>
      <c r="G94" s="539">
        <v>283</v>
      </c>
      <c r="H94" s="105">
        <v>302.4</v>
      </c>
      <c r="I94" s="105">
        <v>45.86666666666667</v>
      </c>
      <c r="J94" s="105">
        <v>1.6</v>
      </c>
      <c r="K94" s="105">
        <v>0.8</v>
      </c>
      <c r="L94" s="300" t="s">
        <v>325</v>
      </c>
    </row>
    <row r="95" spans="1:12" ht="15" customHeight="1">
      <c r="A95" s="4"/>
      <c r="B95" s="226" t="s">
        <v>341</v>
      </c>
      <c r="C95" s="35">
        <v>35</v>
      </c>
      <c r="D95" s="22">
        <v>2.45</v>
      </c>
      <c r="E95" s="22">
        <v>0.175</v>
      </c>
      <c r="F95" s="22">
        <v>11.375</v>
      </c>
      <c r="G95" s="522">
        <v>32</v>
      </c>
      <c r="H95" s="22">
        <v>0</v>
      </c>
      <c r="I95" s="22">
        <v>0</v>
      </c>
      <c r="J95" s="22">
        <v>0</v>
      </c>
      <c r="K95" s="22">
        <v>0</v>
      </c>
      <c r="L95" s="287" t="s">
        <v>3</v>
      </c>
    </row>
    <row r="96" spans="1:12" ht="15" customHeight="1">
      <c r="A96" s="4"/>
      <c r="B96" s="233" t="s">
        <v>77</v>
      </c>
      <c r="C96" s="62">
        <v>180</v>
      </c>
      <c r="D96" s="63">
        <v>5.22</v>
      </c>
      <c r="E96" s="63">
        <v>4.5</v>
      </c>
      <c r="F96" s="63">
        <v>7.2</v>
      </c>
      <c r="G96" s="540">
        <v>90</v>
      </c>
      <c r="H96" s="63">
        <v>216</v>
      </c>
      <c r="I96" s="63">
        <v>25.2</v>
      </c>
      <c r="J96" s="63">
        <v>0.2</v>
      </c>
      <c r="K96" s="63">
        <v>1.26</v>
      </c>
      <c r="L96" s="301" t="s">
        <v>342</v>
      </c>
    </row>
    <row r="97" spans="1:12" ht="15" customHeight="1">
      <c r="A97" s="4"/>
      <c r="B97" s="233" t="s">
        <v>452</v>
      </c>
      <c r="C97" s="62">
        <v>100</v>
      </c>
      <c r="D97" s="63">
        <v>0.4</v>
      </c>
      <c r="E97" s="63">
        <v>0.4</v>
      </c>
      <c r="F97" s="63">
        <v>9.8</v>
      </c>
      <c r="G97" s="541">
        <v>44</v>
      </c>
      <c r="H97" s="63">
        <v>16</v>
      </c>
      <c r="I97" s="63">
        <v>9</v>
      </c>
      <c r="J97" s="63">
        <v>2.2</v>
      </c>
      <c r="K97" s="63">
        <v>10</v>
      </c>
      <c r="L97" s="301" t="s">
        <v>88</v>
      </c>
    </row>
    <row r="98" spans="1:12" ht="15" customHeight="1">
      <c r="A98" s="4"/>
      <c r="B98" s="393" t="s">
        <v>37</v>
      </c>
      <c r="C98" s="333">
        <v>20</v>
      </c>
      <c r="D98" s="334">
        <f>D89*20/22</f>
        <v>1.142857142857143</v>
      </c>
      <c r="E98" s="334">
        <f aca="true" t="shared" si="14" ref="E98:K98">E118*20/21</f>
        <v>0.20779220779220778</v>
      </c>
      <c r="F98" s="334">
        <f t="shared" si="14"/>
        <v>7.168831168831169</v>
      </c>
      <c r="G98" s="542">
        <v>48</v>
      </c>
      <c r="H98" s="334">
        <f t="shared" si="14"/>
        <v>3.428571428571427</v>
      </c>
      <c r="I98" s="334">
        <f t="shared" si="14"/>
        <v>4.883116883116885</v>
      </c>
      <c r="J98" s="334">
        <f t="shared" si="14"/>
        <v>0.31168831168831174</v>
      </c>
      <c r="K98" s="334">
        <f t="shared" si="14"/>
        <v>0</v>
      </c>
      <c r="L98" s="336" t="s">
        <v>311</v>
      </c>
    </row>
    <row r="99" spans="1:12" ht="15" customHeight="1">
      <c r="A99" s="45" t="s">
        <v>56</v>
      </c>
      <c r="B99" s="47"/>
      <c r="C99" s="7">
        <f aca="true" t="shared" si="15" ref="C99:K99">SUM(C93:C98)</f>
        <v>595</v>
      </c>
      <c r="D99" s="8">
        <f t="shared" si="15"/>
        <v>45.95952380952381</v>
      </c>
      <c r="E99" s="8">
        <f t="shared" si="15"/>
        <v>36.26945887445888</v>
      </c>
      <c r="F99" s="8">
        <f t="shared" si="15"/>
        <v>80.93049783549785</v>
      </c>
      <c r="G99" s="206">
        <f t="shared" si="15"/>
        <v>539.5</v>
      </c>
      <c r="H99" s="8">
        <f t="shared" si="15"/>
        <v>550.9085714285715</v>
      </c>
      <c r="I99" s="8">
        <f t="shared" si="15"/>
        <v>96.70978354978355</v>
      </c>
      <c r="J99" s="8">
        <f t="shared" si="15"/>
        <v>4.911688311688312</v>
      </c>
      <c r="K99" s="8">
        <f t="shared" si="15"/>
        <v>19.619999999999997</v>
      </c>
      <c r="L99" s="296"/>
    </row>
    <row r="100" spans="1:12" ht="27.75" customHeight="1">
      <c r="A100" s="55" t="s">
        <v>59</v>
      </c>
      <c r="B100" s="56"/>
      <c r="C100" s="7"/>
      <c r="D100" s="8">
        <f aca="true" t="shared" si="16" ref="D100:K100">SUM(D77,D80,D91,D99)</f>
        <v>97.94808333333333</v>
      </c>
      <c r="E100" s="8">
        <f t="shared" si="16"/>
        <v>80.21811363636364</v>
      </c>
      <c r="F100" s="8">
        <f t="shared" si="16"/>
        <v>211.86732323232323</v>
      </c>
      <c r="G100" s="206">
        <f t="shared" si="16"/>
        <v>1619.9533333333334</v>
      </c>
      <c r="H100" s="8">
        <f t="shared" si="16"/>
        <v>1054.1744444444444</v>
      </c>
      <c r="I100" s="8">
        <f t="shared" si="16"/>
        <v>349.40565656565656</v>
      </c>
      <c r="J100" s="8">
        <f t="shared" si="16"/>
        <v>22.028745454545458</v>
      </c>
      <c r="K100" s="8">
        <f t="shared" si="16"/>
        <v>70.5555</v>
      </c>
      <c r="L100" s="282"/>
    </row>
    <row r="101" spans="1:12" ht="15" customHeight="1">
      <c r="A101" s="4"/>
      <c r="B101" s="583"/>
      <c r="C101" s="584"/>
      <c r="D101" s="584"/>
      <c r="E101" s="584"/>
      <c r="F101" s="584"/>
      <c r="G101" s="584"/>
      <c r="H101" s="584"/>
      <c r="I101" s="584"/>
      <c r="J101" s="584"/>
      <c r="K101" s="585"/>
      <c r="L101" s="282"/>
    </row>
    <row r="102" spans="1:12" ht="15" customHeight="1">
      <c r="A102" s="4"/>
      <c r="B102" s="586" t="s">
        <v>75</v>
      </c>
      <c r="C102" s="586"/>
      <c r="D102" s="586"/>
      <c r="E102" s="586"/>
      <c r="F102" s="586"/>
      <c r="G102" s="586"/>
      <c r="H102" s="586"/>
      <c r="I102" s="586"/>
      <c r="J102" s="586"/>
      <c r="K102" s="586"/>
      <c r="L102" s="282"/>
    </row>
    <row r="103" spans="1:12" ht="15" customHeight="1">
      <c r="A103" s="40" t="s">
        <v>52</v>
      </c>
      <c r="B103" s="41"/>
      <c r="C103" s="1"/>
      <c r="D103" s="12"/>
      <c r="E103" s="12"/>
      <c r="F103" s="12"/>
      <c r="G103" s="520"/>
      <c r="H103" s="12"/>
      <c r="I103" s="12"/>
      <c r="J103" s="12"/>
      <c r="K103" s="12"/>
      <c r="L103" s="282"/>
    </row>
    <row r="104" spans="1:12" ht="15" customHeight="1">
      <c r="A104" s="4"/>
      <c r="B104" s="91" t="s">
        <v>327</v>
      </c>
      <c r="C104" s="92">
        <v>15</v>
      </c>
      <c r="D104" s="70">
        <v>2.7</v>
      </c>
      <c r="E104" s="70">
        <v>6.6</v>
      </c>
      <c r="F104" s="70">
        <v>0</v>
      </c>
      <c r="G104" s="530">
        <v>68</v>
      </c>
      <c r="H104" s="70">
        <v>101.7</v>
      </c>
      <c r="I104" s="70">
        <v>4.95</v>
      </c>
      <c r="J104" s="70">
        <v>0.15</v>
      </c>
      <c r="K104" s="70">
        <v>0</v>
      </c>
      <c r="L104" s="303" t="s">
        <v>328</v>
      </c>
    </row>
    <row r="105" spans="1:12" ht="15" customHeight="1">
      <c r="A105" s="4"/>
      <c r="B105" s="226" t="s">
        <v>503</v>
      </c>
      <c r="C105" s="108">
        <v>180</v>
      </c>
      <c r="D105" s="22">
        <v>5.22</v>
      </c>
      <c r="E105" s="22">
        <v>4.95</v>
      </c>
      <c r="F105" s="22">
        <v>16.740000000000002</v>
      </c>
      <c r="G105" s="522">
        <v>131</v>
      </c>
      <c r="H105" s="22">
        <v>145.71</v>
      </c>
      <c r="I105" s="22">
        <v>26.64</v>
      </c>
      <c r="J105" s="22">
        <v>0.045</v>
      </c>
      <c r="K105" s="22">
        <v>0.7875</v>
      </c>
      <c r="L105" s="113" t="s">
        <v>454</v>
      </c>
    </row>
    <row r="106" spans="1:12" ht="15" customHeight="1">
      <c r="A106" s="4"/>
      <c r="B106" s="220" t="s">
        <v>1</v>
      </c>
      <c r="C106" s="27">
        <v>200</v>
      </c>
      <c r="D106" s="22">
        <v>3.17</v>
      </c>
      <c r="E106" s="22">
        <v>2.68</v>
      </c>
      <c r="F106" s="22">
        <v>11</v>
      </c>
      <c r="G106" s="522">
        <v>81</v>
      </c>
      <c r="H106" s="22">
        <v>125.7</v>
      </c>
      <c r="I106" s="22">
        <v>14</v>
      </c>
      <c r="J106" s="22">
        <v>0.1</v>
      </c>
      <c r="K106" s="22">
        <v>1.32</v>
      </c>
      <c r="L106" s="304" t="s">
        <v>17</v>
      </c>
    </row>
    <row r="107" spans="1:12" ht="15" customHeight="1">
      <c r="A107" s="4"/>
      <c r="B107" s="46" t="s">
        <v>36</v>
      </c>
      <c r="C107" s="33">
        <v>30</v>
      </c>
      <c r="D107" s="93">
        <v>2.25</v>
      </c>
      <c r="E107" s="93">
        <v>0.87</v>
      </c>
      <c r="F107" s="93">
        <v>15.42</v>
      </c>
      <c r="G107" s="527">
        <v>79</v>
      </c>
      <c r="H107" s="93">
        <v>5.7</v>
      </c>
      <c r="I107" s="93">
        <v>3.9</v>
      </c>
      <c r="J107" s="93">
        <v>0.36</v>
      </c>
      <c r="K107" s="93">
        <v>0</v>
      </c>
      <c r="L107" s="280" t="s">
        <v>7</v>
      </c>
    </row>
    <row r="108" spans="1:12" ht="15" customHeight="1">
      <c r="A108" s="40" t="s">
        <v>23</v>
      </c>
      <c r="B108" s="56"/>
      <c r="C108" s="7">
        <f aca="true" t="shared" si="17" ref="C108:K108">SUM(C104:C107)</f>
        <v>425</v>
      </c>
      <c r="D108" s="8">
        <f t="shared" si="17"/>
        <v>13.34</v>
      </c>
      <c r="E108" s="8">
        <f t="shared" si="17"/>
        <v>15.1</v>
      </c>
      <c r="F108" s="8">
        <f t="shared" si="17"/>
        <v>43.160000000000004</v>
      </c>
      <c r="G108" s="206">
        <f t="shared" si="17"/>
        <v>359</v>
      </c>
      <c r="H108" s="8">
        <f t="shared" si="17"/>
        <v>378.81</v>
      </c>
      <c r="I108" s="8">
        <f t="shared" si="17"/>
        <v>49.49</v>
      </c>
      <c r="J108" s="8">
        <f t="shared" si="17"/>
        <v>0.655</v>
      </c>
      <c r="K108" s="8">
        <f t="shared" si="17"/>
        <v>2.1075</v>
      </c>
      <c r="L108" s="282"/>
    </row>
    <row r="109" spans="1:12" ht="15" customHeight="1">
      <c r="A109" s="64" t="s">
        <v>53</v>
      </c>
      <c r="B109" s="1"/>
      <c r="C109" s="1"/>
      <c r="D109" s="5"/>
      <c r="E109" s="5"/>
      <c r="F109" s="5"/>
      <c r="G109" s="520"/>
      <c r="H109" s="5"/>
      <c r="I109" s="5"/>
      <c r="J109" s="5"/>
      <c r="K109" s="5"/>
      <c r="L109" s="282"/>
    </row>
    <row r="110" spans="1:12" ht="15" customHeight="1">
      <c r="A110" s="64"/>
      <c r="B110" s="220" t="s">
        <v>111</v>
      </c>
      <c r="C110" s="72">
        <v>110</v>
      </c>
      <c r="D110" s="10">
        <v>3</v>
      </c>
      <c r="E110" s="10">
        <v>0</v>
      </c>
      <c r="F110" s="10">
        <v>13</v>
      </c>
      <c r="G110" s="73">
        <v>90</v>
      </c>
      <c r="H110" s="10">
        <v>130</v>
      </c>
      <c r="I110" s="10">
        <v>14.3</v>
      </c>
      <c r="J110" s="10">
        <v>0.11</v>
      </c>
      <c r="K110" s="10">
        <v>0.7</v>
      </c>
      <c r="L110" s="281" t="s">
        <v>3</v>
      </c>
    </row>
    <row r="111" spans="1:12" ht="15" customHeight="1">
      <c r="A111" s="64"/>
      <c r="B111" s="46"/>
      <c r="C111" s="75">
        <f>SUM(C110)</f>
        <v>110</v>
      </c>
      <c r="D111" s="206">
        <f>SUM(D110)</f>
        <v>3</v>
      </c>
      <c r="E111" s="206">
        <f aca="true" t="shared" si="18" ref="E111:K111">SUM(E110)</f>
        <v>0</v>
      </c>
      <c r="F111" s="206">
        <f t="shared" si="18"/>
        <v>13</v>
      </c>
      <c r="G111" s="206">
        <f t="shared" si="18"/>
        <v>90</v>
      </c>
      <c r="H111" s="206">
        <f t="shared" si="18"/>
        <v>130</v>
      </c>
      <c r="I111" s="206">
        <f t="shared" si="18"/>
        <v>14.3</v>
      </c>
      <c r="J111" s="206">
        <f t="shared" si="18"/>
        <v>0.11</v>
      </c>
      <c r="K111" s="206">
        <f t="shared" si="18"/>
        <v>0.7</v>
      </c>
      <c r="L111" s="281"/>
    </row>
    <row r="112" spans="1:12" ht="15" customHeight="1">
      <c r="A112" s="65" t="s">
        <v>54</v>
      </c>
      <c r="B112" s="41"/>
      <c r="C112" s="1"/>
      <c r="D112" s="5"/>
      <c r="E112" s="5"/>
      <c r="F112" s="5"/>
      <c r="G112" s="519"/>
      <c r="H112" s="5"/>
      <c r="I112" s="5"/>
      <c r="J112" s="5"/>
      <c r="K112" s="5"/>
      <c r="L112" s="282"/>
    </row>
    <row r="113" spans="1:12" ht="15" customHeight="1">
      <c r="A113" s="40"/>
      <c r="B113" s="221" t="s">
        <v>557</v>
      </c>
      <c r="C113" s="23" t="s">
        <v>386</v>
      </c>
      <c r="D113" s="26">
        <v>0.96</v>
      </c>
      <c r="E113" s="26">
        <v>3.6</v>
      </c>
      <c r="F113" s="26">
        <v>3.6</v>
      </c>
      <c r="G113" s="523">
        <v>53.4</v>
      </c>
      <c r="H113" s="26">
        <v>24.2</v>
      </c>
      <c r="I113" s="26">
        <v>10</v>
      </c>
      <c r="J113" s="26">
        <v>0.4</v>
      </c>
      <c r="K113" s="26">
        <v>30.2</v>
      </c>
      <c r="L113" s="283" t="s">
        <v>390</v>
      </c>
    </row>
    <row r="114" spans="1:20" ht="12" customHeight="1">
      <c r="A114" s="4"/>
      <c r="B114" s="226" t="s">
        <v>527</v>
      </c>
      <c r="C114" s="420" t="s">
        <v>556</v>
      </c>
      <c r="D114" s="22">
        <v>8.190000000000001</v>
      </c>
      <c r="E114" s="22">
        <v>7.3</v>
      </c>
      <c r="F114" s="22">
        <v>11.4</v>
      </c>
      <c r="G114" s="522">
        <v>143.4</v>
      </c>
      <c r="H114" s="22">
        <v>118.55</v>
      </c>
      <c r="I114" s="22">
        <v>93.875</v>
      </c>
      <c r="J114" s="22">
        <v>5</v>
      </c>
      <c r="K114" s="22">
        <v>15.5</v>
      </c>
      <c r="L114" s="283" t="s">
        <v>329</v>
      </c>
      <c r="N114" s="203"/>
      <c r="O114" s="203"/>
      <c r="P114" s="203"/>
      <c r="Q114" s="203"/>
      <c r="R114" s="203"/>
      <c r="S114" s="203"/>
      <c r="T114" s="203"/>
    </row>
    <row r="115" spans="1:12" ht="15" customHeight="1">
      <c r="A115" s="4"/>
      <c r="B115" s="226" t="s">
        <v>330</v>
      </c>
      <c r="C115" s="27">
        <v>80</v>
      </c>
      <c r="D115" s="22">
        <v>15.013698630136986</v>
      </c>
      <c r="E115" s="22">
        <v>7.780821917808219</v>
      </c>
      <c r="F115" s="22">
        <v>2.73972602739726</v>
      </c>
      <c r="G115" s="522">
        <v>140.4</v>
      </c>
      <c r="H115" s="39">
        <v>31.34246575342466</v>
      </c>
      <c r="I115" s="39">
        <v>16.65753424657534</v>
      </c>
      <c r="J115" s="39">
        <v>0.9863013698630136</v>
      </c>
      <c r="K115" s="22">
        <v>0</v>
      </c>
      <c r="L115" s="287" t="s">
        <v>331</v>
      </c>
    </row>
    <row r="116" spans="1:20" ht="15" customHeight="1">
      <c r="A116" s="4"/>
      <c r="B116" s="220" t="s">
        <v>60</v>
      </c>
      <c r="C116" s="35">
        <v>130</v>
      </c>
      <c r="D116" s="69">
        <v>2.5</v>
      </c>
      <c r="E116" s="69">
        <v>4</v>
      </c>
      <c r="F116" s="69">
        <v>15.6</v>
      </c>
      <c r="G116" s="529">
        <v>108.4</v>
      </c>
      <c r="H116" s="69">
        <v>32.5</v>
      </c>
      <c r="I116" s="69">
        <v>28.1</v>
      </c>
      <c r="J116" s="69">
        <v>0.9</v>
      </c>
      <c r="K116" s="69">
        <v>13.6</v>
      </c>
      <c r="L116" s="288" t="s">
        <v>93</v>
      </c>
      <c r="M116" s="261"/>
      <c r="N116" s="261"/>
      <c r="O116" s="261"/>
      <c r="P116" s="261"/>
      <c r="Q116" s="261"/>
      <c r="R116" s="261"/>
      <c r="S116" s="261"/>
      <c r="T116" s="261"/>
    </row>
    <row r="117" spans="1:12" ht="15" customHeight="1">
      <c r="A117" s="4"/>
      <c r="B117" s="223" t="s">
        <v>96</v>
      </c>
      <c r="C117" s="23">
        <v>200</v>
      </c>
      <c r="D117" s="22">
        <v>0.57</v>
      </c>
      <c r="E117" s="22">
        <v>0.06</v>
      </c>
      <c r="F117" s="22">
        <v>22.2</v>
      </c>
      <c r="G117" s="522">
        <v>88.4</v>
      </c>
      <c r="H117" s="22">
        <v>1.1</v>
      </c>
      <c r="I117" s="22">
        <v>15.7</v>
      </c>
      <c r="J117" s="22">
        <v>3.36</v>
      </c>
      <c r="K117" s="22">
        <v>0.37</v>
      </c>
      <c r="L117" s="279" t="s">
        <v>94</v>
      </c>
    </row>
    <row r="118" spans="1:12" ht="15" customHeight="1">
      <c r="A118" s="4"/>
      <c r="B118" s="46" t="s">
        <v>37</v>
      </c>
      <c r="C118" s="23">
        <v>21</v>
      </c>
      <c r="D118" s="22">
        <f>D150*21/22</f>
        <v>1.2000000000000002</v>
      </c>
      <c r="E118" s="22">
        <f aca="true" t="shared" si="19" ref="E118:K118">E150*21/22</f>
        <v>0.21818181818181814</v>
      </c>
      <c r="F118" s="22">
        <f t="shared" si="19"/>
        <v>7.527272727272728</v>
      </c>
      <c r="G118" s="522">
        <v>50.4</v>
      </c>
      <c r="H118" s="22">
        <f t="shared" si="19"/>
        <v>3.5999999999999988</v>
      </c>
      <c r="I118" s="22">
        <f t="shared" si="19"/>
        <v>5.127272727272729</v>
      </c>
      <c r="J118" s="22">
        <f t="shared" si="19"/>
        <v>0.3272727272727273</v>
      </c>
      <c r="K118" s="22">
        <f t="shared" si="19"/>
        <v>0</v>
      </c>
      <c r="L118" s="280" t="s">
        <v>21</v>
      </c>
    </row>
    <row r="119" spans="1:12" ht="15" customHeight="1">
      <c r="A119" s="4"/>
      <c r="B119" s="46" t="s">
        <v>38</v>
      </c>
      <c r="C119" s="33">
        <v>22</v>
      </c>
      <c r="D119" s="93">
        <f>D151*22/42</f>
        <v>1.4317460317460318</v>
      </c>
      <c r="E119" s="93">
        <f aca="true" t="shared" si="20" ref="E119:K119">E151*22/42</f>
        <v>0.2863492063492063</v>
      </c>
      <c r="F119" s="93">
        <f t="shared" si="20"/>
        <v>8.542751322751323</v>
      </c>
      <c r="G119" s="527">
        <v>43.4</v>
      </c>
      <c r="H119" s="93">
        <f t="shared" si="20"/>
        <v>10.117671957671957</v>
      </c>
      <c r="I119" s="93">
        <f t="shared" si="20"/>
        <v>10.547195767195767</v>
      </c>
      <c r="J119" s="93">
        <f t="shared" si="20"/>
        <v>0.8590476190476192</v>
      </c>
      <c r="K119" s="93">
        <f t="shared" si="20"/>
        <v>0</v>
      </c>
      <c r="L119" s="280" t="s">
        <v>22</v>
      </c>
    </row>
    <row r="120" spans="1:12" ht="15" customHeight="1">
      <c r="A120" s="45" t="s">
        <v>27</v>
      </c>
      <c r="B120" s="47"/>
      <c r="C120" s="195">
        <v>745</v>
      </c>
      <c r="D120" s="8">
        <f aca="true" t="shared" si="21" ref="D120:K120">SUM(D113:D119)</f>
        <v>29.865444661883018</v>
      </c>
      <c r="E120" s="8">
        <f t="shared" si="21"/>
        <v>23.245352942339245</v>
      </c>
      <c r="F120" s="8">
        <f t="shared" si="21"/>
        <v>71.60975007742132</v>
      </c>
      <c r="G120" s="206">
        <f t="shared" si="21"/>
        <v>627.8</v>
      </c>
      <c r="H120" s="8">
        <f t="shared" si="21"/>
        <v>221.41013771109658</v>
      </c>
      <c r="I120" s="8">
        <f t="shared" si="21"/>
        <v>180.00700274104383</v>
      </c>
      <c r="J120" s="8">
        <f t="shared" si="21"/>
        <v>11.832621716183361</v>
      </c>
      <c r="K120" s="8">
        <f t="shared" si="21"/>
        <v>59.67</v>
      </c>
      <c r="L120" s="305"/>
    </row>
    <row r="121" spans="1:12" ht="15" customHeight="1">
      <c r="A121" s="45" t="s">
        <v>55</v>
      </c>
      <c r="B121" s="53"/>
      <c r="C121" s="53"/>
      <c r="D121" s="3"/>
      <c r="E121" s="3"/>
      <c r="F121" s="3"/>
      <c r="G121" s="10"/>
      <c r="H121" s="3"/>
      <c r="I121" s="3"/>
      <c r="J121" s="3"/>
      <c r="K121" s="3"/>
      <c r="L121" s="305"/>
    </row>
    <row r="122" spans="1:12" ht="15" customHeight="1">
      <c r="A122" s="4"/>
      <c r="B122" s="221" t="s">
        <v>504</v>
      </c>
      <c r="C122" s="23" t="s">
        <v>345</v>
      </c>
      <c r="D122" s="39">
        <v>0.6</v>
      </c>
      <c r="E122" s="39">
        <v>3.1</v>
      </c>
      <c r="F122" s="39">
        <v>2.4</v>
      </c>
      <c r="G122" s="523">
        <v>39.5</v>
      </c>
      <c r="H122" s="24">
        <v>8.8</v>
      </c>
      <c r="I122" s="24">
        <v>8.9</v>
      </c>
      <c r="J122" s="24">
        <v>0.4</v>
      </c>
      <c r="K122" s="39">
        <v>10.2</v>
      </c>
      <c r="L122" s="283" t="s">
        <v>326</v>
      </c>
    </row>
    <row r="123" spans="1:12" ht="15" customHeight="1">
      <c r="A123" s="4"/>
      <c r="B123" s="227" t="s">
        <v>332</v>
      </c>
      <c r="C123" s="82">
        <v>80</v>
      </c>
      <c r="D123" s="69">
        <v>12.2</v>
      </c>
      <c r="E123" s="69">
        <v>3.1</v>
      </c>
      <c r="F123" s="69">
        <v>8.1</v>
      </c>
      <c r="G123" s="529">
        <v>108.5</v>
      </c>
      <c r="H123" s="22">
        <v>51.1</v>
      </c>
      <c r="I123" s="22">
        <v>41.2</v>
      </c>
      <c r="J123" s="22">
        <v>0.7</v>
      </c>
      <c r="K123" s="69">
        <v>0.4</v>
      </c>
      <c r="L123" s="288" t="s">
        <v>333</v>
      </c>
    </row>
    <row r="124" spans="1:12" ht="10.5" customHeight="1" hidden="1">
      <c r="A124" s="4"/>
      <c r="B124" s="421" t="s">
        <v>141</v>
      </c>
      <c r="C124" s="117">
        <v>2</v>
      </c>
      <c r="D124" s="39">
        <v>0.06</v>
      </c>
      <c r="E124" s="39">
        <v>0.01</v>
      </c>
      <c r="F124" s="39">
        <v>0.08</v>
      </c>
      <c r="G124" s="523">
        <v>1.4</v>
      </c>
      <c r="H124" s="39">
        <v>42.31999999999999</v>
      </c>
      <c r="I124" s="39">
        <v>41.44</v>
      </c>
      <c r="J124" s="39">
        <v>1.5466666666666664</v>
      </c>
      <c r="K124" s="39">
        <v>2</v>
      </c>
      <c r="L124" s="289" t="s">
        <v>142</v>
      </c>
    </row>
    <row r="125" spans="1:12" ht="15" customHeight="1">
      <c r="A125" s="4"/>
      <c r="B125" s="231" t="s">
        <v>40</v>
      </c>
      <c r="C125" s="196">
        <v>150</v>
      </c>
      <c r="D125" s="105">
        <v>4.575</v>
      </c>
      <c r="E125" s="105">
        <v>5.01</v>
      </c>
      <c r="F125" s="105">
        <v>20.52</v>
      </c>
      <c r="G125" s="539">
        <v>145.5</v>
      </c>
      <c r="H125" s="105">
        <v>8.5</v>
      </c>
      <c r="I125" s="105">
        <v>72</v>
      </c>
      <c r="J125" s="105">
        <v>2.4</v>
      </c>
      <c r="K125" s="105">
        <v>0</v>
      </c>
      <c r="L125" s="306" t="s">
        <v>41</v>
      </c>
    </row>
    <row r="126" spans="1:12" ht="15" customHeight="1">
      <c r="A126" s="13"/>
      <c r="B126" s="423" t="s">
        <v>334</v>
      </c>
      <c r="C126" s="438" t="s">
        <v>558</v>
      </c>
      <c r="D126" s="39">
        <v>0.54</v>
      </c>
      <c r="E126" s="39">
        <v>1.6</v>
      </c>
      <c r="F126" s="39">
        <v>2.12</v>
      </c>
      <c r="G126" s="523">
        <v>24</v>
      </c>
      <c r="H126" s="39">
        <v>8.7</v>
      </c>
      <c r="I126" s="39">
        <v>2.9</v>
      </c>
      <c r="J126" s="39">
        <v>0.1</v>
      </c>
      <c r="K126" s="39">
        <v>0.4</v>
      </c>
      <c r="L126" s="289" t="s">
        <v>335</v>
      </c>
    </row>
    <row r="127" spans="1:12" ht="15" customHeight="1">
      <c r="A127" s="45"/>
      <c r="B127" s="228" t="s">
        <v>336</v>
      </c>
      <c r="C127" s="35">
        <v>200</v>
      </c>
      <c r="D127" s="36">
        <v>0.07</v>
      </c>
      <c r="E127" s="36">
        <v>0.02</v>
      </c>
      <c r="F127" s="36">
        <v>9</v>
      </c>
      <c r="G127" s="529">
        <v>36</v>
      </c>
      <c r="H127" s="36">
        <v>10</v>
      </c>
      <c r="I127" s="36">
        <v>1.3</v>
      </c>
      <c r="J127" s="36">
        <v>0.3</v>
      </c>
      <c r="K127" s="36">
        <v>0</v>
      </c>
      <c r="L127" s="288" t="s">
        <v>8</v>
      </c>
    </row>
    <row r="128" spans="1:12" ht="15" customHeight="1">
      <c r="A128" s="45"/>
      <c r="B128" s="226" t="s">
        <v>97</v>
      </c>
      <c r="C128" s="101">
        <v>30</v>
      </c>
      <c r="D128" s="25">
        <v>1.2</v>
      </c>
      <c r="E128" s="25">
        <v>7.8</v>
      </c>
      <c r="F128" s="25">
        <v>17.7</v>
      </c>
      <c r="G128" s="543">
        <v>148</v>
      </c>
      <c r="H128" s="25">
        <v>9</v>
      </c>
      <c r="I128" s="25">
        <v>30</v>
      </c>
      <c r="J128" s="25">
        <v>30</v>
      </c>
      <c r="K128" s="25">
        <v>0</v>
      </c>
      <c r="L128" s="302" t="s">
        <v>3</v>
      </c>
    </row>
    <row r="129" spans="1:12" ht="15" customHeight="1">
      <c r="A129" s="55"/>
      <c r="B129" s="46" t="s">
        <v>38</v>
      </c>
      <c r="C129" s="23">
        <v>20</v>
      </c>
      <c r="D129" s="22">
        <f>D151*20/42</f>
        <v>1.3015873015873016</v>
      </c>
      <c r="E129" s="22">
        <f aca="true" t="shared" si="22" ref="E129:K129">E151*20/42</f>
        <v>0.26031746031746034</v>
      </c>
      <c r="F129" s="22">
        <f t="shared" si="22"/>
        <v>7.766137566137567</v>
      </c>
      <c r="G129" s="522">
        <v>40</v>
      </c>
      <c r="H129" s="22">
        <f t="shared" si="22"/>
        <v>9.197883597883598</v>
      </c>
      <c r="I129" s="22">
        <f t="shared" si="22"/>
        <v>9.588359788359789</v>
      </c>
      <c r="J129" s="22">
        <f t="shared" si="22"/>
        <v>0.7809523809523811</v>
      </c>
      <c r="K129" s="22">
        <f t="shared" si="22"/>
        <v>0</v>
      </c>
      <c r="L129" s="280" t="s">
        <v>22</v>
      </c>
    </row>
    <row r="130" spans="1:12" ht="15" customHeight="1">
      <c r="A130" s="45" t="s">
        <v>56</v>
      </c>
      <c r="B130" s="67"/>
      <c r="C130" s="7">
        <v>562</v>
      </c>
      <c r="D130" s="8">
        <f aca="true" t="shared" si="23" ref="D130:K130">SUM(D122:D129)</f>
        <v>20.546587301587298</v>
      </c>
      <c r="E130" s="8">
        <f t="shared" si="23"/>
        <v>20.900317460317456</v>
      </c>
      <c r="F130" s="8">
        <f t="shared" si="23"/>
        <v>67.68613756613757</v>
      </c>
      <c r="G130" s="206">
        <f t="shared" si="23"/>
        <v>542.9</v>
      </c>
      <c r="H130" s="8">
        <f t="shared" si="23"/>
        <v>147.6178835978836</v>
      </c>
      <c r="I130" s="8">
        <f t="shared" si="23"/>
        <v>207.3283597883598</v>
      </c>
      <c r="J130" s="8">
        <f t="shared" si="23"/>
        <v>36.227619047619044</v>
      </c>
      <c r="K130" s="8">
        <f t="shared" si="23"/>
        <v>13</v>
      </c>
      <c r="L130" s="305"/>
    </row>
    <row r="131" spans="1:12" ht="28.5" customHeight="1">
      <c r="A131" s="55" t="s">
        <v>61</v>
      </c>
      <c r="B131" s="56"/>
      <c r="C131" s="7"/>
      <c r="D131" s="8">
        <f aca="true" t="shared" si="24" ref="D131:K131">SUM(D108,D111,D120,D130)</f>
        <v>66.75203196347032</v>
      </c>
      <c r="E131" s="8">
        <f t="shared" si="24"/>
        <v>59.2456704026567</v>
      </c>
      <c r="F131" s="8">
        <f t="shared" si="24"/>
        <v>195.4558876435589</v>
      </c>
      <c r="G131" s="206">
        <f t="shared" si="24"/>
        <v>1619.6999999999998</v>
      </c>
      <c r="H131" s="8">
        <f t="shared" si="24"/>
        <v>877.8380213089803</v>
      </c>
      <c r="I131" s="8">
        <f t="shared" si="24"/>
        <v>451.1253625294037</v>
      </c>
      <c r="J131" s="8">
        <f t="shared" si="24"/>
        <v>48.825240763802405</v>
      </c>
      <c r="K131" s="8">
        <f t="shared" si="24"/>
        <v>75.47749999999999</v>
      </c>
      <c r="L131" s="305"/>
    </row>
    <row r="132" spans="1:12" ht="15" customHeight="1">
      <c r="A132" s="4"/>
      <c r="B132" s="583"/>
      <c r="C132" s="584"/>
      <c r="D132" s="584"/>
      <c r="E132" s="584"/>
      <c r="F132" s="584"/>
      <c r="G132" s="584"/>
      <c r="H132" s="584"/>
      <c r="I132" s="584"/>
      <c r="J132" s="584"/>
      <c r="K132" s="585"/>
      <c r="L132" s="282"/>
    </row>
    <row r="133" spans="1:12" ht="15" customHeight="1">
      <c r="A133" s="4"/>
      <c r="B133" s="588" t="s">
        <v>74</v>
      </c>
      <c r="C133" s="588"/>
      <c r="D133" s="588"/>
      <c r="E133" s="588"/>
      <c r="F133" s="588"/>
      <c r="G133" s="588"/>
      <c r="H133" s="588"/>
      <c r="I133" s="588"/>
      <c r="J133" s="588"/>
      <c r="K133" s="588"/>
      <c r="L133" s="282"/>
    </row>
    <row r="134" spans="1:12" ht="15" customHeight="1">
      <c r="A134" s="40" t="s">
        <v>52</v>
      </c>
      <c r="B134" s="41"/>
      <c r="C134" s="1"/>
      <c r="D134" s="12"/>
      <c r="E134" s="12"/>
      <c r="F134" s="12"/>
      <c r="G134" s="520"/>
      <c r="H134" s="12"/>
      <c r="I134" s="12"/>
      <c r="J134" s="12"/>
      <c r="K134" s="12"/>
      <c r="L134" s="282"/>
    </row>
    <row r="135" spans="1:12" ht="15" customHeight="1">
      <c r="A135" s="58"/>
      <c r="B135" s="42" t="s">
        <v>103</v>
      </c>
      <c r="C135" s="1">
        <v>10</v>
      </c>
      <c r="D135" s="4">
        <v>0</v>
      </c>
      <c r="E135" s="4">
        <v>0</v>
      </c>
      <c r="F135" s="4">
        <v>6.5</v>
      </c>
      <c r="G135" s="520">
        <v>24.5</v>
      </c>
      <c r="H135" s="4">
        <v>1.4</v>
      </c>
      <c r="I135" s="4">
        <v>0.7</v>
      </c>
      <c r="J135" s="4">
        <v>0.1</v>
      </c>
      <c r="K135" s="4">
        <v>0.1</v>
      </c>
      <c r="L135" s="277" t="s">
        <v>3</v>
      </c>
    </row>
    <row r="136" spans="1:13" s="344" customFormat="1" ht="14.25" customHeight="1">
      <c r="A136" s="424"/>
      <c r="B136" s="199" t="s">
        <v>529</v>
      </c>
      <c r="C136" s="200" t="s">
        <v>528</v>
      </c>
      <c r="D136" s="201">
        <v>10.74</v>
      </c>
      <c r="E136" s="201">
        <v>15.5</v>
      </c>
      <c r="F136" s="201">
        <v>10.5</v>
      </c>
      <c r="G136" s="544">
        <v>209</v>
      </c>
      <c r="H136" s="201">
        <v>103.5</v>
      </c>
      <c r="I136" s="201">
        <v>30.52</v>
      </c>
      <c r="J136" s="201">
        <v>2.8</v>
      </c>
      <c r="K136" s="201">
        <v>3.04</v>
      </c>
      <c r="L136" s="307" t="s">
        <v>577</v>
      </c>
      <c r="M136" s="343"/>
    </row>
    <row r="137" spans="1:12" ht="14.25" customHeight="1">
      <c r="A137" s="4"/>
      <c r="B137" s="230" t="s">
        <v>82</v>
      </c>
      <c r="C137" s="96">
        <v>200</v>
      </c>
      <c r="D137" s="68">
        <v>0.2</v>
      </c>
      <c r="E137" s="68">
        <v>0.1</v>
      </c>
      <c r="F137" s="116">
        <v>10.4</v>
      </c>
      <c r="G137" s="534">
        <v>45.5</v>
      </c>
      <c r="H137" s="116">
        <v>4.1</v>
      </c>
      <c r="I137" s="116">
        <v>1.2</v>
      </c>
      <c r="J137" s="116">
        <v>0.2</v>
      </c>
      <c r="K137" s="116">
        <v>50.1</v>
      </c>
      <c r="L137" s="295" t="s">
        <v>83</v>
      </c>
    </row>
    <row r="138" spans="1:12" ht="15" customHeight="1">
      <c r="A138" s="4"/>
      <c r="B138" s="46" t="s">
        <v>36</v>
      </c>
      <c r="C138" s="41">
        <v>30</v>
      </c>
      <c r="D138" s="127">
        <v>2.3</v>
      </c>
      <c r="E138" s="127">
        <v>0.9</v>
      </c>
      <c r="F138" s="127">
        <v>15.4</v>
      </c>
      <c r="G138" s="525">
        <v>79</v>
      </c>
      <c r="H138" s="127">
        <v>5.7</v>
      </c>
      <c r="I138" s="127">
        <v>3.9</v>
      </c>
      <c r="J138" s="127">
        <v>0.4</v>
      </c>
      <c r="K138" s="127">
        <v>0</v>
      </c>
      <c r="L138" s="281" t="s">
        <v>7</v>
      </c>
    </row>
    <row r="139" spans="1:12" ht="15" customHeight="1">
      <c r="A139" s="40" t="s">
        <v>23</v>
      </c>
      <c r="B139" s="47"/>
      <c r="C139" s="7">
        <v>400</v>
      </c>
      <c r="D139" s="52">
        <f aca="true" t="shared" si="25" ref="D139:K139">SUM(D135:D138)</f>
        <v>13.239999999999998</v>
      </c>
      <c r="E139" s="52">
        <f t="shared" si="25"/>
        <v>16.5</v>
      </c>
      <c r="F139" s="52">
        <f t="shared" si="25"/>
        <v>42.8</v>
      </c>
      <c r="G139" s="532">
        <f t="shared" si="25"/>
        <v>358</v>
      </c>
      <c r="H139" s="52">
        <f t="shared" si="25"/>
        <v>114.7</v>
      </c>
      <c r="I139" s="52">
        <f t="shared" si="25"/>
        <v>36.32</v>
      </c>
      <c r="J139" s="52">
        <f t="shared" si="25"/>
        <v>3.5</v>
      </c>
      <c r="K139" s="52">
        <f t="shared" si="25"/>
        <v>53.24</v>
      </c>
      <c r="L139" s="282"/>
    </row>
    <row r="140" spans="1:12" ht="15" customHeight="1">
      <c r="A140" s="58" t="s">
        <v>53</v>
      </c>
      <c r="B140" s="53"/>
      <c r="C140" s="1"/>
      <c r="D140" s="5"/>
      <c r="E140" s="5"/>
      <c r="F140" s="5"/>
      <c r="G140" s="519"/>
      <c r="H140" s="5"/>
      <c r="I140" s="5"/>
      <c r="J140" s="5"/>
      <c r="K140" s="5"/>
      <c r="L140" s="282"/>
    </row>
    <row r="141" spans="1:12" ht="15" customHeight="1">
      <c r="A141" s="58"/>
      <c r="B141" s="235" t="s">
        <v>78</v>
      </c>
      <c r="C141" s="197">
        <v>200</v>
      </c>
      <c r="D141" s="198">
        <v>1</v>
      </c>
      <c r="E141" s="198">
        <v>0</v>
      </c>
      <c r="F141" s="198">
        <v>20.200000000000003</v>
      </c>
      <c r="G141" s="545">
        <v>90</v>
      </c>
      <c r="H141" s="105">
        <v>14</v>
      </c>
      <c r="I141" s="105">
        <v>8</v>
      </c>
      <c r="J141" s="105">
        <v>2.8</v>
      </c>
      <c r="K141" s="105">
        <v>4</v>
      </c>
      <c r="L141" s="308" t="s">
        <v>13</v>
      </c>
    </row>
    <row r="142" spans="1:12" ht="15" customHeight="1">
      <c r="A142" s="58"/>
      <c r="B142" s="42"/>
      <c r="C142" s="7">
        <v>200</v>
      </c>
      <c r="D142" s="8">
        <f>SUM(D141)</f>
        <v>1</v>
      </c>
      <c r="E142" s="8">
        <f aca="true" t="shared" si="26" ref="E142:K142">SUM(E141)</f>
        <v>0</v>
      </c>
      <c r="F142" s="8">
        <f t="shared" si="26"/>
        <v>20.200000000000003</v>
      </c>
      <c r="G142" s="206">
        <f t="shared" si="26"/>
        <v>90</v>
      </c>
      <c r="H142" s="8">
        <f t="shared" si="26"/>
        <v>14</v>
      </c>
      <c r="I142" s="8">
        <f t="shared" si="26"/>
        <v>8</v>
      </c>
      <c r="J142" s="8">
        <f t="shared" si="26"/>
        <v>2.8</v>
      </c>
      <c r="K142" s="8">
        <f t="shared" si="26"/>
        <v>4</v>
      </c>
      <c r="L142" s="281"/>
    </row>
    <row r="143" spans="1:12" ht="15" customHeight="1">
      <c r="A143" s="65" t="s">
        <v>54</v>
      </c>
      <c r="B143" s="53"/>
      <c r="C143" s="1"/>
      <c r="D143" s="5"/>
      <c r="E143" s="5"/>
      <c r="F143" s="5"/>
      <c r="G143" s="519"/>
      <c r="H143" s="5"/>
      <c r="I143" s="5"/>
      <c r="J143" s="5"/>
      <c r="K143" s="5"/>
      <c r="L143" s="282"/>
    </row>
    <row r="144" spans="1:12" ht="15" customHeight="1">
      <c r="A144" s="40"/>
      <c r="B144" s="221" t="s">
        <v>374</v>
      </c>
      <c r="C144" s="23">
        <v>50</v>
      </c>
      <c r="D144" s="39">
        <v>0.55</v>
      </c>
      <c r="E144" s="39">
        <v>0</v>
      </c>
      <c r="F144" s="39">
        <v>2.5</v>
      </c>
      <c r="G144" s="523">
        <v>8.4</v>
      </c>
      <c r="H144" s="24">
        <v>7.000000000000001</v>
      </c>
      <c r="I144" s="24">
        <v>10</v>
      </c>
      <c r="J144" s="24">
        <v>0.45000000000000007</v>
      </c>
      <c r="K144" s="39">
        <v>12.5</v>
      </c>
      <c r="L144" s="283" t="s">
        <v>142</v>
      </c>
    </row>
    <row r="145" spans="1:16" ht="15.75" customHeight="1">
      <c r="A145" s="40"/>
      <c r="B145" s="221" t="s">
        <v>481</v>
      </c>
      <c r="C145" s="27" t="s">
        <v>559</v>
      </c>
      <c r="D145" s="22">
        <v>5.8696</v>
      </c>
      <c r="E145" s="22">
        <v>2.6448</v>
      </c>
      <c r="F145" s="22">
        <v>10.388799999999998</v>
      </c>
      <c r="G145" s="522">
        <v>87.4</v>
      </c>
      <c r="H145" s="39">
        <v>19.23</v>
      </c>
      <c r="I145" s="39">
        <v>23.700000000000003</v>
      </c>
      <c r="J145" s="39">
        <v>1.08</v>
      </c>
      <c r="K145" s="22">
        <v>6.090000000000001</v>
      </c>
      <c r="L145" s="287" t="s">
        <v>337</v>
      </c>
      <c r="M145" s="415"/>
      <c r="N145" s="415"/>
      <c r="O145" s="415"/>
      <c r="P145" s="415"/>
    </row>
    <row r="146" spans="1:12" ht="14.25" customHeight="1">
      <c r="A146" s="4"/>
      <c r="B146" s="231" t="s">
        <v>550</v>
      </c>
      <c r="C146" s="196" t="s">
        <v>548</v>
      </c>
      <c r="D146" s="69">
        <v>12.860000000000001</v>
      </c>
      <c r="E146" s="69">
        <v>11.11</v>
      </c>
      <c r="F146" s="69">
        <v>5.12</v>
      </c>
      <c r="G146" s="529">
        <v>230.5</v>
      </c>
      <c r="H146" s="69">
        <v>57.3</v>
      </c>
      <c r="I146" s="69">
        <v>66.92</v>
      </c>
      <c r="J146" s="69">
        <v>9.106666666666667</v>
      </c>
      <c r="K146" s="69">
        <v>40.92</v>
      </c>
      <c r="L146" s="288" t="s">
        <v>338</v>
      </c>
    </row>
    <row r="147" spans="1:12" ht="15" customHeight="1">
      <c r="A147" s="4"/>
      <c r="B147" s="227" t="s">
        <v>81</v>
      </c>
      <c r="C147" s="35">
        <v>130</v>
      </c>
      <c r="D147" s="26">
        <v>2.2</v>
      </c>
      <c r="E147" s="26">
        <v>3.7</v>
      </c>
      <c r="F147" s="26">
        <v>23</v>
      </c>
      <c r="G147" s="523"/>
      <c r="H147" s="39">
        <v>3.6</v>
      </c>
      <c r="I147" s="39">
        <v>15.6</v>
      </c>
      <c r="J147" s="39">
        <v>0.4</v>
      </c>
      <c r="K147" s="26">
        <v>0</v>
      </c>
      <c r="L147" s="223" t="s">
        <v>41</v>
      </c>
    </row>
    <row r="148" spans="1:12" ht="15" customHeight="1">
      <c r="A148" s="4"/>
      <c r="B148" s="236" t="s">
        <v>479</v>
      </c>
      <c r="C148" s="35">
        <v>130</v>
      </c>
      <c r="D148" s="69">
        <v>3.4</v>
      </c>
      <c r="E148" s="69">
        <v>3.7</v>
      </c>
      <c r="F148" s="69">
        <v>21.3</v>
      </c>
      <c r="G148" s="529">
        <v>132.4</v>
      </c>
      <c r="H148" s="69">
        <v>13.6</v>
      </c>
      <c r="I148" s="69">
        <v>18.7</v>
      </c>
      <c r="J148" s="69">
        <v>1.5</v>
      </c>
      <c r="K148" s="69">
        <v>0</v>
      </c>
      <c r="L148" s="288" t="s">
        <v>41</v>
      </c>
    </row>
    <row r="149" spans="1:12" ht="15" customHeight="1">
      <c r="A149" s="4"/>
      <c r="B149" s="220" t="s">
        <v>505</v>
      </c>
      <c r="C149" s="27">
        <v>180</v>
      </c>
      <c r="D149" s="22">
        <v>0.1</v>
      </c>
      <c r="E149" s="22">
        <v>0.2</v>
      </c>
      <c r="F149" s="22">
        <v>22.5</v>
      </c>
      <c r="G149" s="522">
        <v>52.6</v>
      </c>
      <c r="H149" s="22">
        <v>6.2</v>
      </c>
      <c r="I149" s="22">
        <v>3.2</v>
      </c>
      <c r="J149" s="22">
        <v>0.8</v>
      </c>
      <c r="K149" s="22">
        <v>3.6</v>
      </c>
      <c r="L149" s="279" t="s">
        <v>343</v>
      </c>
    </row>
    <row r="150" spans="1:12" ht="15" customHeight="1">
      <c r="A150" s="4"/>
      <c r="B150" s="46" t="s">
        <v>37</v>
      </c>
      <c r="C150" s="33">
        <v>16</v>
      </c>
      <c r="D150" s="93">
        <v>1.2571428571428573</v>
      </c>
      <c r="E150" s="93">
        <v>0.22857142857142854</v>
      </c>
      <c r="F150" s="93">
        <v>7.885714285714287</v>
      </c>
      <c r="G150" s="527">
        <v>37.4</v>
      </c>
      <c r="H150" s="93">
        <v>3.7714285714285705</v>
      </c>
      <c r="I150" s="93">
        <v>5.371428571428574</v>
      </c>
      <c r="J150" s="93">
        <v>0.3428571428571429</v>
      </c>
      <c r="K150" s="93">
        <v>0</v>
      </c>
      <c r="L150" s="280" t="s">
        <v>21</v>
      </c>
    </row>
    <row r="151" spans="1:12" ht="15" customHeight="1">
      <c r="A151" s="4"/>
      <c r="B151" s="46" t="s">
        <v>38</v>
      </c>
      <c r="C151" s="23">
        <v>41</v>
      </c>
      <c r="D151" s="22">
        <v>2.7333333333333334</v>
      </c>
      <c r="E151" s="22">
        <v>0.5466666666666666</v>
      </c>
      <c r="F151" s="22">
        <v>16.30888888888889</v>
      </c>
      <c r="G151" s="522">
        <v>80.4</v>
      </c>
      <c r="H151" s="22">
        <v>19.315555555555555</v>
      </c>
      <c r="I151" s="22">
        <v>20.135555555555555</v>
      </c>
      <c r="J151" s="22">
        <v>1.6400000000000001</v>
      </c>
      <c r="K151" s="22">
        <v>0</v>
      </c>
      <c r="L151" s="280" t="s">
        <v>22</v>
      </c>
    </row>
    <row r="152" spans="1:12" ht="14.25" customHeight="1">
      <c r="A152" s="47" t="s">
        <v>27</v>
      </c>
      <c r="B152" s="47"/>
      <c r="C152" s="9">
        <v>744</v>
      </c>
      <c r="D152" s="52">
        <f aca="true" t="shared" si="27" ref="D152:K152">SUM(D144:D151)</f>
        <v>28.970076190476192</v>
      </c>
      <c r="E152" s="52">
        <f t="shared" si="27"/>
        <v>22.130038095238092</v>
      </c>
      <c r="F152" s="52">
        <f t="shared" si="27"/>
        <v>109.00340317460316</v>
      </c>
      <c r="G152" s="532">
        <f t="shared" si="27"/>
        <v>629.1</v>
      </c>
      <c r="H152" s="52">
        <f t="shared" si="27"/>
        <v>130.0169841269841</v>
      </c>
      <c r="I152" s="52">
        <f t="shared" si="27"/>
        <v>163.6269841269841</v>
      </c>
      <c r="J152" s="52">
        <f t="shared" si="27"/>
        <v>15.319523809523812</v>
      </c>
      <c r="K152" s="52">
        <f t="shared" si="27"/>
        <v>63.11000000000001</v>
      </c>
      <c r="L152" s="305"/>
    </row>
    <row r="153" spans="1:17" ht="15" customHeight="1">
      <c r="A153" s="45" t="s">
        <v>55</v>
      </c>
      <c r="B153" s="53"/>
      <c r="C153" s="257"/>
      <c r="D153" s="3"/>
      <c r="E153" s="3"/>
      <c r="F153" s="3"/>
      <c r="G153" s="10"/>
      <c r="H153" s="3"/>
      <c r="I153" s="3"/>
      <c r="J153" s="3"/>
      <c r="K153" s="3"/>
      <c r="L153" s="305"/>
      <c r="N153" s="203"/>
      <c r="O153" s="203"/>
      <c r="P153" s="203"/>
      <c r="Q153" s="203"/>
    </row>
    <row r="154" spans="1:17" ht="14.25" customHeight="1">
      <c r="A154" s="45"/>
      <c r="B154" s="221" t="s">
        <v>560</v>
      </c>
      <c r="C154" s="23" t="s">
        <v>386</v>
      </c>
      <c r="D154" s="39">
        <v>0.84</v>
      </c>
      <c r="E154" s="39">
        <v>1.92</v>
      </c>
      <c r="F154" s="39">
        <v>5.28</v>
      </c>
      <c r="G154" s="523">
        <v>52.5</v>
      </c>
      <c r="H154" s="24">
        <v>11.04</v>
      </c>
      <c r="I154" s="24">
        <v>10.08</v>
      </c>
      <c r="J154" s="24">
        <v>0.6199999999999998</v>
      </c>
      <c r="K154" s="39">
        <v>8.4</v>
      </c>
      <c r="L154" s="287" t="s">
        <v>340</v>
      </c>
      <c r="N154" s="203"/>
      <c r="O154" s="203"/>
      <c r="P154" s="203"/>
      <c r="Q154" s="203"/>
    </row>
    <row r="155" spans="1:12" ht="14.25" customHeight="1">
      <c r="A155" s="45"/>
      <c r="B155" s="444" t="s">
        <v>482</v>
      </c>
      <c r="C155" s="445" t="s">
        <v>561</v>
      </c>
      <c r="D155" s="38">
        <v>6.14</v>
      </c>
      <c r="E155" s="38">
        <v>10.42</v>
      </c>
      <c r="F155" s="38">
        <v>28.41</v>
      </c>
      <c r="G155" s="476">
        <v>232</v>
      </c>
      <c r="H155" s="38">
        <v>69.3</v>
      </c>
      <c r="I155" s="38">
        <v>41.1</v>
      </c>
      <c r="J155" s="38">
        <v>1.63</v>
      </c>
      <c r="K155" s="38">
        <v>12.96</v>
      </c>
      <c r="L155" s="300" t="s">
        <v>483</v>
      </c>
    </row>
    <row r="156" spans="1:12" ht="14.25" customHeight="1">
      <c r="A156" s="4"/>
      <c r="B156" s="485" t="s">
        <v>551</v>
      </c>
      <c r="C156" s="197">
        <v>200</v>
      </c>
      <c r="D156" s="93">
        <v>0.3</v>
      </c>
      <c r="E156" s="93">
        <v>0</v>
      </c>
      <c r="F156" s="93">
        <v>7.2</v>
      </c>
      <c r="G156" s="527">
        <v>27</v>
      </c>
      <c r="H156" s="93">
        <v>9</v>
      </c>
      <c r="I156" s="93">
        <v>6</v>
      </c>
      <c r="J156" s="93">
        <v>0.94</v>
      </c>
      <c r="K156" s="93">
        <v>2.64</v>
      </c>
      <c r="L156" s="294" t="s">
        <v>553</v>
      </c>
    </row>
    <row r="157" spans="1:12" ht="14.25" customHeight="1">
      <c r="A157" s="4"/>
      <c r="B157" s="229" t="s">
        <v>474</v>
      </c>
      <c r="C157" s="33">
        <v>60</v>
      </c>
      <c r="D157" s="93">
        <v>7.9</v>
      </c>
      <c r="E157" s="93">
        <v>4.6</v>
      </c>
      <c r="F157" s="93">
        <v>25</v>
      </c>
      <c r="G157" s="527">
        <v>173</v>
      </c>
      <c r="H157" s="93">
        <v>43.5</v>
      </c>
      <c r="I157" s="93">
        <v>18.5</v>
      </c>
      <c r="J157" s="93">
        <v>0.9</v>
      </c>
      <c r="K157" s="93">
        <v>0</v>
      </c>
      <c r="L157" s="294" t="s">
        <v>475</v>
      </c>
    </row>
    <row r="158" spans="1:17" ht="14.25" customHeight="1">
      <c r="A158" s="4"/>
      <c r="B158" s="104" t="s">
        <v>37</v>
      </c>
      <c r="C158" s="101">
        <v>25</v>
      </c>
      <c r="D158" s="25">
        <f>D150*25/17</f>
        <v>1.8487394957983196</v>
      </c>
      <c r="E158" s="25">
        <f aca="true" t="shared" si="28" ref="E158:K158">E150*25/17</f>
        <v>0.3361344537815126</v>
      </c>
      <c r="F158" s="25">
        <f t="shared" si="28"/>
        <v>11.596638655462186</v>
      </c>
      <c r="G158" s="546">
        <v>58.5</v>
      </c>
      <c r="H158" s="25">
        <f t="shared" si="28"/>
        <v>5.546218487394957</v>
      </c>
      <c r="I158" s="25">
        <f t="shared" si="28"/>
        <v>7.899159663865549</v>
      </c>
      <c r="J158" s="25">
        <f t="shared" si="28"/>
        <v>0.504201680672269</v>
      </c>
      <c r="K158" s="25">
        <f t="shared" si="28"/>
        <v>0</v>
      </c>
      <c r="L158" s="302" t="s">
        <v>21</v>
      </c>
      <c r="N158" s="203"/>
      <c r="O158" s="203"/>
      <c r="P158" s="203"/>
      <c r="Q158" s="203"/>
    </row>
    <row r="159" spans="1:12" ht="15" customHeight="1">
      <c r="A159" s="45" t="s">
        <v>56</v>
      </c>
      <c r="B159" s="47"/>
      <c r="C159" s="7">
        <v>526</v>
      </c>
      <c r="D159" s="8">
        <f aca="true" t="shared" si="29" ref="D159:K159">SUM(D154:D158)</f>
        <v>17.02873949579832</v>
      </c>
      <c r="E159" s="8">
        <f t="shared" si="29"/>
        <v>17.27613445378151</v>
      </c>
      <c r="F159" s="8">
        <f t="shared" si="29"/>
        <v>77.48663865546219</v>
      </c>
      <c r="G159" s="206">
        <f t="shared" si="29"/>
        <v>543</v>
      </c>
      <c r="H159" s="8">
        <f t="shared" si="29"/>
        <v>138.38621848739496</v>
      </c>
      <c r="I159" s="8">
        <f t="shared" si="29"/>
        <v>83.57915966386555</v>
      </c>
      <c r="J159" s="8">
        <f t="shared" si="29"/>
        <v>4.594201680672269</v>
      </c>
      <c r="K159" s="8">
        <f t="shared" si="29"/>
        <v>24</v>
      </c>
      <c r="L159" s="305"/>
    </row>
    <row r="160" spans="1:12" ht="29.25" customHeight="1">
      <c r="A160" s="55" t="s">
        <v>63</v>
      </c>
      <c r="B160" s="47"/>
      <c r="C160" s="53"/>
      <c r="D160" s="8">
        <f aca="true" t="shared" si="30" ref="D160:K160">SUM(D139,D142,D152,D159)</f>
        <v>60.238815686274506</v>
      </c>
      <c r="E160" s="8">
        <f t="shared" si="30"/>
        <v>55.9061725490196</v>
      </c>
      <c r="F160" s="8">
        <f t="shared" si="30"/>
        <v>249.49004183006537</v>
      </c>
      <c r="G160" s="206">
        <f t="shared" si="30"/>
        <v>1620.1</v>
      </c>
      <c r="H160" s="8">
        <f t="shared" si="30"/>
        <v>397.1032026143791</v>
      </c>
      <c r="I160" s="8">
        <f t="shared" si="30"/>
        <v>291.52614379084963</v>
      </c>
      <c r="J160" s="8">
        <f t="shared" si="30"/>
        <v>26.213725490196083</v>
      </c>
      <c r="K160" s="8">
        <f t="shared" si="30"/>
        <v>144.35000000000002</v>
      </c>
      <c r="L160" s="305"/>
    </row>
    <row r="161" spans="1:12" ht="15" customHeight="1">
      <c r="A161" s="55"/>
      <c r="B161" s="583"/>
      <c r="C161" s="584"/>
      <c r="D161" s="584"/>
      <c r="E161" s="584"/>
      <c r="F161" s="584"/>
      <c r="G161" s="584"/>
      <c r="H161" s="584"/>
      <c r="I161" s="584"/>
      <c r="J161" s="584"/>
      <c r="K161" s="585"/>
      <c r="L161" s="282"/>
    </row>
    <row r="162" spans="1:12" ht="15" customHeight="1">
      <c r="A162" s="45"/>
      <c r="B162" s="587" t="s">
        <v>73</v>
      </c>
      <c r="C162" s="587"/>
      <c r="D162" s="587"/>
      <c r="E162" s="587"/>
      <c r="F162" s="587"/>
      <c r="G162" s="587"/>
      <c r="H162" s="587"/>
      <c r="I162" s="587"/>
      <c r="J162" s="587"/>
      <c r="K162" s="587"/>
      <c r="L162" s="282"/>
    </row>
    <row r="163" spans="1:12" ht="15" customHeight="1">
      <c r="A163" s="40" t="s">
        <v>52</v>
      </c>
      <c r="B163" s="1"/>
      <c r="C163" s="1"/>
      <c r="D163" s="12"/>
      <c r="E163" s="12"/>
      <c r="F163" s="12"/>
      <c r="G163" s="520"/>
      <c r="H163" s="12"/>
      <c r="I163" s="12"/>
      <c r="J163" s="12"/>
      <c r="K163" s="12"/>
      <c r="L163" s="282"/>
    </row>
    <row r="164" spans="1:12" ht="14.25" customHeight="1">
      <c r="A164" s="4"/>
      <c r="B164" s="220" t="s">
        <v>90</v>
      </c>
      <c r="C164" s="30">
        <v>35</v>
      </c>
      <c r="D164" s="31">
        <v>2.29</v>
      </c>
      <c r="E164" s="31">
        <v>2.35</v>
      </c>
      <c r="F164" s="32">
        <v>16.07</v>
      </c>
      <c r="G164" s="477">
        <v>118.5</v>
      </c>
      <c r="H164" s="32">
        <v>8.1</v>
      </c>
      <c r="I164" s="31">
        <v>8.7</v>
      </c>
      <c r="J164" s="31">
        <v>0.5</v>
      </c>
      <c r="K164" s="31">
        <v>0</v>
      </c>
      <c r="L164" s="287" t="s">
        <v>91</v>
      </c>
    </row>
    <row r="165" spans="1:12" ht="14.25" customHeight="1">
      <c r="A165" s="4"/>
      <c r="B165" s="221" t="s">
        <v>350</v>
      </c>
      <c r="C165" s="27">
        <v>200</v>
      </c>
      <c r="D165" s="84">
        <v>4.390400000000001</v>
      </c>
      <c r="E165" s="84">
        <v>4.0384</v>
      </c>
      <c r="F165" s="84">
        <v>13.523199999999997</v>
      </c>
      <c r="G165" s="522">
        <v>132.4</v>
      </c>
      <c r="H165" s="84">
        <v>171.0666666666667</v>
      </c>
      <c r="I165" s="84">
        <v>20.933333333333337</v>
      </c>
      <c r="J165" s="84">
        <v>0.2666666666666666</v>
      </c>
      <c r="K165" s="84">
        <v>0.9333333333333333</v>
      </c>
      <c r="L165" s="287" t="s">
        <v>351</v>
      </c>
    </row>
    <row r="166" spans="1:17" ht="14.25" customHeight="1">
      <c r="A166" s="4"/>
      <c r="B166" s="220" t="s">
        <v>115</v>
      </c>
      <c r="C166" s="27">
        <v>190</v>
      </c>
      <c r="D166" s="22">
        <v>5.7855</v>
      </c>
      <c r="E166" s="22">
        <v>5.149</v>
      </c>
      <c r="F166" s="22">
        <v>9.576</v>
      </c>
      <c r="G166" s="522">
        <v>107.4</v>
      </c>
      <c r="H166" s="22">
        <v>239.4</v>
      </c>
      <c r="I166" s="22">
        <v>27.93</v>
      </c>
      <c r="J166" s="22">
        <v>0.19949999999999998</v>
      </c>
      <c r="K166" s="22">
        <v>2.5935</v>
      </c>
      <c r="L166" s="279" t="s">
        <v>352</v>
      </c>
      <c r="N166" s="203"/>
      <c r="O166" s="203"/>
      <c r="P166" s="203"/>
      <c r="Q166" s="203"/>
    </row>
    <row r="167" spans="1:12" ht="15" customHeight="1">
      <c r="A167" s="45" t="s">
        <v>23</v>
      </c>
      <c r="B167" s="56"/>
      <c r="C167" s="7">
        <f>SUM(C164:C166)</f>
        <v>425</v>
      </c>
      <c r="D167" s="8">
        <f aca="true" t="shared" si="31" ref="D167:K167">SUM(D164:D166)</f>
        <v>12.465900000000001</v>
      </c>
      <c r="E167" s="8">
        <f t="shared" si="31"/>
        <v>11.537400000000002</v>
      </c>
      <c r="F167" s="8">
        <f t="shared" si="31"/>
        <v>39.1692</v>
      </c>
      <c r="G167" s="206">
        <f>SUM(G164:G166)</f>
        <v>358.3</v>
      </c>
      <c r="H167" s="8">
        <f t="shared" si="31"/>
        <v>418.5666666666667</v>
      </c>
      <c r="I167" s="8">
        <f t="shared" si="31"/>
        <v>57.56333333333333</v>
      </c>
      <c r="J167" s="8">
        <f t="shared" si="31"/>
        <v>0.9661666666666666</v>
      </c>
      <c r="K167" s="8">
        <f t="shared" si="31"/>
        <v>3.5268333333333333</v>
      </c>
      <c r="L167" s="282"/>
    </row>
    <row r="168" spans="1:12" ht="15" customHeight="1">
      <c r="A168" s="40" t="s">
        <v>53</v>
      </c>
      <c r="B168" s="1"/>
      <c r="C168" s="1"/>
      <c r="D168" s="5"/>
      <c r="E168" s="5"/>
      <c r="F168" s="5"/>
      <c r="G168" s="520"/>
      <c r="H168" s="5"/>
      <c r="I168" s="5"/>
      <c r="J168" s="5"/>
      <c r="K168" s="5"/>
      <c r="L168" s="282"/>
    </row>
    <row r="169" spans="1:13" s="344" customFormat="1" ht="15" customHeight="1">
      <c r="A169" s="58"/>
      <c r="B169" s="236" t="s">
        <v>381</v>
      </c>
      <c r="C169" s="196">
        <v>110</v>
      </c>
      <c r="D169" s="38">
        <v>3</v>
      </c>
      <c r="E169" s="38">
        <v>0</v>
      </c>
      <c r="F169" s="38">
        <v>13</v>
      </c>
      <c r="G169" s="476">
        <v>90</v>
      </c>
      <c r="H169" s="38">
        <v>130</v>
      </c>
      <c r="I169" s="38">
        <v>14.3</v>
      </c>
      <c r="J169" s="38">
        <v>0.11</v>
      </c>
      <c r="K169" s="38">
        <v>0.7</v>
      </c>
      <c r="L169" s="337" t="s">
        <v>3</v>
      </c>
      <c r="M169" s="343"/>
    </row>
    <row r="170" spans="1:12" ht="15" customHeight="1">
      <c r="A170" s="58"/>
      <c r="B170" s="80"/>
      <c r="C170" s="75">
        <f>SUM(C169)</f>
        <v>110</v>
      </c>
      <c r="D170" s="322">
        <f>SUM(D169)</f>
        <v>3</v>
      </c>
      <c r="E170" s="322">
        <f aca="true" t="shared" si="32" ref="E170:K170">SUM(E169)</f>
        <v>0</v>
      </c>
      <c r="F170" s="322">
        <f t="shared" si="32"/>
        <v>13</v>
      </c>
      <c r="G170" s="322">
        <f t="shared" si="32"/>
        <v>90</v>
      </c>
      <c r="H170" s="322">
        <f t="shared" si="32"/>
        <v>130</v>
      </c>
      <c r="I170" s="322">
        <f t="shared" si="32"/>
        <v>14.3</v>
      </c>
      <c r="J170" s="322">
        <f t="shared" si="32"/>
        <v>0.11</v>
      </c>
      <c r="K170" s="322">
        <f t="shared" si="32"/>
        <v>0.7</v>
      </c>
      <c r="L170" s="281"/>
    </row>
    <row r="171" spans="1:12" ht="15" customHeight="1">
      <c r="A171" s="65" t="s">
        <v>54</v>
      </c>
      <c r="B171" s="1"/>
      <c r="C171" s="1"/>
      <c r="D171" s="5"/>
      <c r="E171" s="5"/>
      <c r="F171" s="5"/>
      <c r="G171" s="519"/>
      <c r="H171" s="5"/>
      <c r="I171" s="5"/>
      <c r="J171" s="5"/>
      <c r="K171" s="5"/>
      <c r="L171" s="282"/>
    </row>
    <row r="172" spans="1:12" ht="15" customHeight="1">
      <c r="A172" s="40"/>
      <c r="B172" s="221" t="s">
        <v>506</v>
      </c>
      <c r="C172" s="23" t="s">
        <v>356</v>
      </c>
      <c r="D172" s="39">
        <v>0.6</v>
      </c>
      <c r="E172" s="39">
        <v>3.4</v>
      </c>
      <c r="F172" s="39">
        <v>0.7</v>
      </c>
      <c r="G172" s="523">
        <v>42</v>
      </c>
      <c r="H172" s="24">
        <v>0.1</v>
      </c>
      <c r="I172" s="24">
        <v>0.1</v>
      </c>
      <c r="J172" s="24">
        <v>0.5</v>
      </c>
      <c r="K172" s="39">
        <v>12.5</v>
      </c>
      <c r="L172" s="287" t="s">
        <v>354</v>
      </c>
    </row>
    <row r="173" spans="1:12" ht="15" customHeight="1">
      <c r="A173" s="58"/>
      <c r="B173" s="237" t="s">
        <v>509</v>
      </c>
      <c r="C173" s="27" t="s">
        <v>562</v>
      </c>
      <c r="D173" s="22">
        <v>7.02</v>
      </c>
      <c r="E173" s="22">
        <v>8.19</v>
      </c>
      <c r="F173" s="22">
        <v>9</v>
      </c>
      <c r="G173" s="522">
        <v>138</v>
      </c>
      <c r="H173" s="39">
        <v>76.68000000000002</v>
      </c>
      <c r="I173" s="39">
        <v>17.459999999999997</v>
      </c>
      <c r="J173" s="39">
        <v>0.54</v>
      </c>
      <c r="K173" s="22">
        <v>0.54</v>
      </c>
      <c r="L173" s="287" t="s">
        <v>355</v>
      </c>
    </row>
    <row r="174" spans="1:12" ht="15" customHeight="1">
      <c r="A174" s="4"/>
      <c r="B174" s="220" t="s">
        <v>507</v>
      </c>
      <c r="C174" s="82">
        <v>70</v>
      </c>
      <c r="D174" s="69">
        <v>9.8</v>
      </c>
      <c r="E174" s="69">
        <v>6.533333333333334</v>
      </c>
      <c r="F174" s="69">
        <v>8.88125</v>
      </c>
      <c r="G174" s="529">
        <v>151.8125</v>
      </c>
      <c r="H174" s="69">
        <v>8.88125</v>
      </c>
      <c r="I174" s="69">
        <v>12.760416666666668</v>
      </c>
      <c r="J174" s="69">
        <v>1.4291666666666667</v>
      </c>
      <c r="K174" s="69">
        <v>0.4083333333333334</v>
      </c>
      <c r="L174" s="288" t="s">
        <v>353</v>
      </c>
    </row>
    <row r="175" spans="1:12" ht="15" customHeight="1">
      <c r="A175" s="4"/>
      <c r="B175" s="223" t="s">
        <v>35</v>
      </c>
      <c r="C175" s="35">
        <v>130</v>
      </c>
      <c r="D175" s="36">
        <v>4.8</v>
      </c>
      <c r="E175" s="36">
        <v>3.9</v>
      </c>
      <c r="F175" s="36">
        <v>25.9</v>
      </c>
      <c r="G175" s="529">
        <v>146</v>
      </c>
      <c r="H175" s="36">
        <v>4.2</v>
      </c>
      <c r="I175" s="36">
        <v>18.3</v>
      </c>
      <c r="J175" s="36">
        <v>1</v>
      </c>
      <c r="K175" s="36">
        <v>0</v>
      </c>
      <c r="L175" s="287" t="s">
        <v>84</v>
      </c>
    </row>
    <row r="176" spans="1:12" ht="15" customHeight="1">
      <c r="A176" s="4"/>
      <c r="B176" s="223" t="s">
        <v>508</v>
      </c>
      <c r="C176" s="23">
        <v>180</v>
      </c>
      <c r="D176" s="22">
        <v>0.396</v>
      </c>
      <c r="E176" s="22">
        <v>0.018000000000000002</v>
      </c>
      <c r="F176" s="22">
        <v>26.1</v>
      </c>
      <c r="G176" s="522">
        <v>85</v>
      </c>
      <c r="H176" s="22">
        <v>28.6</v>
      </c>
      <c r="I176" s="22">
        <v>5.4</v>
      </c>
      <c r="J176" s="22">
        <v>1.1</v>
      </c>
      <c r="K176" s="22">
        <v>0.4</v>
      </c>
      <c r="L176" s="279" t="s">
        <v>468</v>
      </c>
    </row>
    <row r="177" spans="1:12" ht="15" customHeight="1">
      <c r="A177" s="4"/>
      <c r="B177" s="42" t="s">
        <v>37</v>
      </c>
      <c r="C177" s="145">
        <v>15</v>
      </c>
      <c r="D177" s="68">
        <v>1.1785714285714286</v>
      </c>
      <c r="E177" s="68">
        <v>0.21428571428571427</v>
      </c>
      <c r="F177" s="68">
        <v>7.392857142857143</v>
      </c>
      <c r="G177" s="524">
        <v>36</v>
      </c>
      <c r="H177" s="68">
        <v>3.535714285714285</v>
      </c>
      <c r="I177" s="68">
        <v>5.0357142857142865</v>
      </c>
      <c r="J177" s="68">
        <v>0.32142857142857145</v>
      </c>
      <c r="K177" s="68">
        <v>0</v>
      </c>
      <c r="L177" s="309" t="s">
        <v>21</v>
      </c>
    </row>
    <row r="178" spans="1:12" ht="15" customHeight="1">
      <c r="A178" s="4"/>
      <c r="B178" s="42" t="s">
        <v>38</v>
      </c>
      <c r="C178" s="96">
        <v>17</v>
      </c>
      <c r="D178" s="116">
        <f>D188*17/20</f>
        <v>0.9984126984126982</v>
      </c>
      <c r="E178" s="116">
        <f aca="true" t="shared" si="33" ref="E178:K178">E188*17/20</f>
        <v>0.1996825396825397</v>
      </c>
      <c r="F178" s="116">
        <f t="shared" si="33"/>
        <v>5.957195767195769</v>
      </c>
      <c r="G178" s="534">
        <v>34</v>
      </c>
      <c r="H178" s="116">
        <f t="shared" si="33"/>
        <v>7.055449735449736</v>
      </c>
      <c r="I178" s="116">
        <f t="shared" si="33"/>
        <v>7.354973544973545</v>
      </c>
      <c r="J178" s="116">
        <f t="shared" si="33"/>
        <v>0.599047619047619</v>
      </c>
      <c r="K178" s="116">
        <f t="shared" si="33"/>
        <v>0</v>
      </c>
      <c r="L178" s="310" t="s">
        <v>22</v>
      </c>
    </row>
    <row r="179" spans="1:12" ht="15" customHeight="1">
      <c r="A179" s="47" t="s">
        <v>27</v>
      </c>
      <c r="B179" s="56"/>
      <c r="C179" s="7">
        <v>644</v>
      </c>
      <c r="D179" s="8">
        <f aca="true" t="shared" si="34" ref="D179:K179">SUM(D172:D178)</f>
        <v>24.792984126984127</v>
      </c>
      <c r="E179" s="8">
        <f t="shared" si="34"/>
        <v>22.45530158730159</v>
      </c>
      <c r="F179" s="8">
        <f t="shared" si="34"/>
        <v>83.9313029100529</v>
      </c>
      <c r="G179" s="206">
        <f t="shared" si="34"/>
        <v>632.8125</v>
      </c>
      <c r="H179" s="8">
        <f t="shared" si="34"/>
        <v>129.05241402116403</v>
      </c>
      <c r="I179" s="8">
        <f t="shared" si="34"/>
        <v>66.4111044973545</v>
      </c>
      <c r="J179" s="8">
        <f t="shared" si="34"/>
        <v>5.489642857142857</v>
      </c>
      <c r="K179" s="8">
        <f t="shared" si="34"/>
        <v>13.848333333333333</v>
      </c>
      <c r="L179" s="282"/>
    </row>
    <row r="180" spans="1:12" ht="15" customHeight="1">
      <c r="A180" s="45" t="s">
        <v>55</v>
      </c>
      <c r="B180" s="53"/>
      <c r="C180" s="53"/>
      <c r="D180" s="3"/>
      <c r="E180" s="3"/>
      <c r="F180" s="3"/>
      <c r="G180" s="10"/>
      <c r="H180" s="3"/>
      <c r="I180" s="3"/>
      <c r="J180" s="3"/>
      <c r="K180" s="3"/>
      <c r="L180" s="282"/>
    </row>
    <row r="181" spans="1:12" ht="14.25" customHeight="1">
      <c r="A181" s="45"/>
      <c r="B181" s="238" t="s">
        <v>563</v>
      </c>
      <c r="C181" s="23" t="s">
        <v>356</v>
      </c>
      <c r="D181" s="39">
        <v>0.97</v>
      </c>
      <c r="E181" s="39">
        <v>4.3</v>
      </c>
      <c r="F181" s="39">
        <v>5.6</v>
      </c>
      <c r="G181" s="523">
        <v>65</v>
      </c>
      <c r="H181" s="39">
        <v>23.6</v>
      </c>
      <c r="I181" s="39">
        <v>13.399999999999999</v>
      </c>
      <c r="J181" s="39">
        <v>0.9</v>
      </c>
      <c r="K181" s="39">
        <v>6.4</v>
      </c>
      <c r="L181" s="287" t="s">
        <v>114</v>
      </c>
    </row>
    <row r="182" spans="1:12" ht="15" customHeight="1">
      <c r="A182" s="40"/>
      <c r="B182" s="239" t="s">
        <v>434</v>
      </c>
      <c r="C182" s="106">
        <v>80</v>
      </c>
      <c r="D182" s="86">
        <v>12.5</v>
      </c>
      <c r="E182" s="86">
        <v>3.3359999999999994</v>
      </c>
      <c r="F182" s="86">
        <v>1.384</v>
      </c>
      <c r="G182" s="528">
        <v>94</v>
      </c>
      <c r="H182" s="86">
        <v>38.3</v>
      </c>
      <c r="I182" s="86">
        <v>48</v>
      </c>
      <c r="J182" s="86">
        <v>0.8</v>
      </c>
      <c r="K182" s="86">
        <v>0.43200000000000005</v>
      </c>
      <c r="L182" s="288" t="s">
        <v>456</v>
      </c>
    </row>
    <row r="183" spans="1:12" ht="15" customHeight="1">
      <c r="A183" s="4"/>
      <c r="B183" s="324" t="s">
        <v>6</v>
      </c>
      <c r="C183" s="111">
        <v>130</v>
      </c>
      <c r="D183" s="36">
        <v>2.65</v>
      </c>
      <c r="E183" s="36">
        <v>4.16</v>
      </c>
      <c r="F183" s="36">
        <v>17.72</v>
      </c>
      <c r="G183" s="529">
        <v>119</v>
      </c>
      <c r="H183" s="36">
        <v>32</v>
      </c>
      <c r="I183" s="36">
        <v>24</v>
      </c>
      <c r="J183" s="36">
        <v>0.9</v>
      </c>
      <c r="K183" s="36">
        <v>15.7</v>
      </c>
      <c r="L183" s="289" t="s">
        <v>89</v>
      </c>
    </row>
    <row r="184" spans="1:12" ht="15" customHeight="1">
      <c r="A184" s="4"/>
      <c r="B184" s="425" t="s">
        <v>129</v>
      </c>
      <c r="C184" s="426">
        <v>25</v>
      </c>
      <c r="D184" s="86">
        <v>0.3</v>
      </c>
      <c r="E184" s="86">
        <v>1.0666666666666667</v>
      </c>
      <c r="F184" s="86">
        <v>2</v>
      </c>
      <c r="G184" s="528">
        <v>19.166666666666668</v>
      </c>
      <c r="H184" s="86">
        <v>4</v>
      </c>
      <c r="I184" s="86">
        <v>2.8333333333333335</v>
      </c>
      <c r="J184" s="86">
        <v>0.16666666666666666</v>
      </c>
      <c r="K184" s="86">
        <v>0.5833333333333334</v>
      </c>
      <c r="L184" s="288" t="s">
        <v>130</v>
      </c>
    </row>
    <row r="185" spans="1:18" ht="15" customHeight="1">
      <c r="A185" s="4"/>
      <c r="B185" s="224" t="s">
        <v>477</v>
      </c>
      <c r="C185" s="87" t="s">
        <v>476</v>
      </c>
      <c r="D185" s="70">
        <v>0.14</v>
      </c>
      <c r="E185" s="70">
        <v>0.02</v>
      </c>
      <c r="F185" s="70">
        <v>18.8</v>
      </c>
      <c r="G185" s="530">
        <v>44</v>
      </c>
      <c r="H185" s="70">
        <v>4.7</v>
      </c>
      <c r="I185" s="70">
        <v>2.7</v>
      </c>
      <c r="J185" s="70">
        <v>0.3</v>
      </c>
      <c r="K185" s="71">
        <v>0.39</v>
      </c>
      <c r="L185" s="290" t="s">
        <v>8</v>
      </c>
      <c r="N185" s="203"/>
      <c r="O185" s="203"/>
      <c r="P185" s="203"/>
      <c r="Q185" s="203"/>
      <c r="R185" s="203"/>
    </row>
    <row r="186" spans="1:12" ht="15" customHeight="1">
      <c r="A186" s="4"/>
      <c r="B186" s="220" t="s">
        <v>86</v>
      </c>
      <c r="C186" s="27">
        <v>30</v>
      </c>
      <c r="D186" s="22">
        <v>0.9</v>
      </c>
      <c r="E186" s="22">
        <v>0.9</v>
      </c>
      <c r="F186" s="22">
        <v>33.1</v>
      </c>
      <c r="G186" s="522">
        <v>105</v>
      </c>
      <c r="H186" s="22">
        <v>2.4</v>
      </c>
      <c r="I186" s="22">
        <v>0.6</v>
      </c>
      <c r="J186" s="22">
        <v>0.3</v>
      </c>
      <c r="K186" s="22">
        <v>0</v>
      </c>
      <c r="L186" s="279" t="s">
        <v>3</v>
      </c>
    </row>
    <row r="187" spans="1:18" ht="15" customHeight="1">
      <c r="A187" s="4"/>
      <c r="B187" s="241" t="s">
        <v>37</v>
      </c>
      <c r="C187" s="27">
        <v>22</v>
      </c>
      <c r="D187" s="22">
        <v>1.7285714285714286</v>
      </c>
      <c r="E187" s="22">
        <v>0.3142857142857143</v>
      </c>
      <c r="F187" s="22">
        <v>10.842857142857143</v>
      </c>
      <c r="G187" s="522">
        <v>53</v>
      </c>
      <c r="H187" s="22">
        <v>5.185714285714285</v>
      </c>
      <c r="I187" s="22">
        <v>7.385714285714287</v>
      </c>
      <c r="J187" s="22">
        <v>0.4714285714285715</v>
      </c>
      <c r="K187" s="22">
        <v>0</v>
      </c>
      <c r="L187" s="279" t="s">
        <v>21</v>
      </c>
      <c r="M187" s="261"/>
      <c r="N187" s="261"/>
      <c r="O187" s="261"/>
      <c r="P187" s="261"/>
      <c r="Q187" s="261"/>
      <c r="R187" s="261"/>
    </row>
    <row r="188" spans="1:12" ht="15" customHeight="1">
      <c r="A188" s="4"/>
      <c r="B188" s="46" t="s">
        <v>38</v>
      </c>
      <c r="C188" s="33">
        <v>20</v>
      </c>
      <c r="D188" s="93">
        <f>D209*20/22</f>
        <v>1.1746031746031744</v>
      </c>
      <c r="E188" s="93">
        <f aca="true" t="shared" si="35" ref="E188:K188">E209*20/22</f>
        <v>0.23492063492063495</v>
      </c>
      <c r="F188" s="93">
        <f t="shared" si="35"/>
        <v>7.00846560846561</v>
      </c>
      <c r="G188" s="527">
        <v>40</v>
      </c>
      <c r="H188" s="93">
        <f t="shared" si="35"/>
        <v>8.3005291005291</v>
      </c>
      <c r="I188" s="93">
        <f t="shared" si="35"/>
        <v>8.652910052910054</v>
      </c>
      <c r="J188" s="93">
        <f t="shared" si="35"/>
        <v>0.7047619047619048</v>
      </c>
      <c r="K188" s="93">
        <f t="shared" si="35"/>
        <v>0</v>
      </c>
      <c r="L188" s="280" t="s">
        <v>22</v>
      </c>
    </row>
    <row r="189" spans="1:18" ht="15.75">
      <c r="A189" s="45" t="s">
        <v>56</v>
      </c>
      <c r="B189" s="56"/>
      <c r="C189" s="9">
        <v>553</v>
      </c>
      <c r="D189" s="8">
        <f aca="true" t="shared" si="36" ref="D189:K189">SUM(D181:D188)</f>
        <v>20.363174603174603</v>
      </c>
      <c r="E189" s="8">
        <f t="shared" si="36"/>
        <v>14.331873015873015</v>
      </c>
      <c r="F189" s="8">
        <f t="shared" si="36"/>
        <v>96.45532275132277</v>
      </c>
      <c r="G189" s="206">
        <f t="shared" si="36"/>
        <v>539.1666666666667</v>
      </c>
      <c r="H189" s="8">
        <f t="shared" si="36"/>
        <v>118.4862433862434</v>
      </c>
      <c r="I189" s="8">
        <f t="shared" si="36"/>
        <v>107.57195767195768</v>
      </c>
      <c r="J189" s="8">
        <f t="shared" si="36"/>
        <v>4.542857142857143</v>
      </c>
      <c r="K189" s="8">
        <f t="shared" si="36"/>
        <v>23.505333333333333</v>
      </c>
      <c r="L189" s="282"/>
      <c r="M189" s="261"/>
      <c r="N189" s="261"/>
      <c r="O189" s="261"/>
      <c r="P189" s="261"/>
      <c r="Q189" s="261"/>
      <c r="R189" s="261"/>
    </row>
    <row r="190" spans="1:18" ht="20.25" customHeight="1">
      <c r="A190" s="55" t="s">
        <v>64</v>
      </c>
      <c r="B190" s="56"/>
      <c r="C190" s="53"/>
      <c r="D190" s="8">
        <f aca="true" t="shared" si="37" ref="D190:K190">SUM(D167,D170,D179,D189)</f>
        <v>60.62205873015873</v>
      </c>
      <c r="E190" s="8">
        <f t="shared" si="37"/>
        <v>48.32457460317461</v>
      </c>
      <c r="F190" s="8">
        <f t="shared" si="37"/>
        <v>232.55582566137568</v>
      </c>
      <c r="G190" s="206">
        <f t="shared" si="37"/>
        <v>1620.2791666666667</v>
      </c>
      <c r="H190" s="8">
        <f t="shared" si="37"/>
        <v>796.1053240740741</v>
      </c>
      <c r="I190" s="8">
        <f t="shared" si="37"/>
        <v>245.8463955026455</v>
      </c>
      <c r="J190" s="8">
        <f t="shared" si="37"/>
        <v>11.108666666666666</v>
      </c>
      <c r="K190" s="8">
        <f t="shared" si="37"/>
        <v>41.5805</v>
      </c>
      <c r="L190" s="282"/>
      <c r="M190" s="261"/>
      <c r="N190" s="261"/>
      <c r="O190" s="261"/>
      <c r="P190" s="261"/>
      <c r="Q190" s="261"/>
      <c r="R190" s="261"/>
    </row>
    <row r="191" spans="1:18" ht="15" customHeight="1">
      <c r="A191" s="4"/>
      <c r="B191" s="583"/>
      <c r="C191" s="584"/>
      <c r="D191" s="584"/>
      <c r="E191" s="584"/>
      <c r="F191" s="584"/>
      <c r="G191" s="584"/>
      <c r="H191" s="584"/>
      <c r="I191" s="584"/>
      <c r="J191" s="584"/>
      <c r="K191" s="585"/>
      <c r="L191" s="282"/>
      <c r="N191" s="203"/>
      <c r="O191" s="203"/>
      <c r="P191" s="203"/>
      <c r="Q191" s="203"/>
      <c r="R191" s="203"/>
    </row>
    <row r="192" spans="1:12" ht="15" customHeight="1">
      <c r="A192" s="4"/>
      <c r="B192" s="591" t="s">
        <v>72</v>
      </c>
      <c r="C192" s="591"/>
      <c r="D192" s="591"/>
      <c r="E192" s="591"/>
      <c r="F192" s="591"/>
      <c r="G192" s="591"/>
      <c r="H192" s="591"/>
      <c r="I192" s="591"/>
      <c r="J192" s="591"/>
      <c r="K192" s="591"/>
      <c r="L192" s="282"/>
    </row>
    <row r="193" spans="1:18" ht="15" customHeight="1">
      <c r="A193" s="40" t="s">
        <v>52</v>
      </c>
      <c r="B193" s="42"/>
      <c r="C193" s="1"/>
      <c r="D193" s="12"/>
      <c r="E193" s="12"/>
      <c r="F193" s="12"/>
      <c r="G193" s="520"/>
      <c r="H193" s="12"/>
      <c r="I193" s="12"/>
      <c r="J193" s="12"/>
      <c r="K193" s="12"/>
      <c r="L193" s="277"/>
      <c r="N193" s="203"/>
      <c r="O193" s="203"/>
      <c r="P193" s="203"/>
      <c r="Q193" s="203"/>
      <c r="R193" s="203"/>
    </row>
    <row r="194" spans="1:12" ht="15" customHeight="1">
      <c r="A194" s="58"/>
      <c r="B194" s="209" t="s">
        <v>349</v>
      </c>
      <c r="C194" s="92">
        <v>10</v>
      </c>
      <c r="D194" s="70">
        <v>2.6333333333333333</v>
      </c>
      <c r="E194" s="70">
        <v>2.6600000000000006</v>
      </c>
      <c r="F194" s="70">
        <v>0</v>
      </c>
      <c r="G194" s="530">
        <v>35.4</v>
      </c>
      <c r="H194" s="70">
        <v>0</v>
      </c>
      <c r="I194" s="70">
        <v>0</v>
      </c>
      <c r="J194" s="70">
        <v>0</v>
      </c>
      <c r="K194" s="70">
        <v>0.07333333333333333</v>
      </c>
      <c r="L194" s="303" t="s">
        <v>305</v>
      </c>
    </row>
    <row r="195" spans="1:18" ht="15" customHeight="1">
      <c r="A195" s="4"/>
      <c r="B195" s="262" t="s">
        <v>480</v>
      </c>
      <c r="C195" s="108">
        <v>180</v>
      </c>
      <c r="D195" s="22">
        <v>5.372999999999999</v>
      </c>
      <c r="E195" s="22">
        <v>4.9302</v>
      </c>
      <c r="F195" s="22">
        <v>15.373800000000001</v>
      </c>
      <c r="G195" s="522">
        <v>128</v>
      </c>
      <c r="H195" s="22">
        <v>144.81</v>
      </c>
      <c r="I195" s="22">
        <v>41.85</v>
      </c>
      <c r="J195" s="22">
        <v>0.9900000000000001</v>
      </c>
      <c r="K195" s="22">
        <v>0.81</v>
      </c>
      <c r="L195" s="113" t="s">
        <v>10</v>
      </c>
      <c r="N195" s="203"/>
      <c r="O195" s="203"/>
      <c r="P195" s="203"/>
      <c r="Q195" s="203"/>
      <c r="R195" s="203"/>
    </row>
    <row r="196" spans="1:12" ht="15" customHeight="1">
      <c r="A196" s="4"/>
      <c r="B196" s="230" t="s">
        <v>361</v>
      </c>
      <c r="C196" s="96">
        <v>180</v>
      </c>
      <c r="D196" s="90">
        <v>2.8</v>
      </c>
      <c r="E196" s="90">
        <v>3.3</v>
      </c>
      <c r="F196" s="90">
        <v>20.2</v>
      </c>
      <c r="G196" s="476">
        <v>116</v>
      </c>
      <c r="H196" s="37">
        <v>114.4</v>
      </c>
      <c r="I196" s="37">
        <v>11.8</v>
      </c>
      <c r="J196" s="37">
        <v>0</v>
      </c>
      <c r="K196" s="90">
        <v>0.3</v>
      </c>
      <c r="L196" s="279" t="s">
        <v>362</v>
      </c>
    </row>
    <row r="197" spans="1:12" ht="15" customHeight="1">
      <c r="A197" s="4"/>
      <c r="B197" s="46" t="s">
        <v>36</v>
      </c>
      <c r="C197" s="23">
        <v>30</v>
      </c>
      <c r="D197" s="22">
        <v>2.3</v>
      </c>
      <c r="E197" s="22">
        <v>0.9</v>
      </c>
      <c r="F197" s="22">
        <v>15.4</v>
      </c>
      <c r="G197" s="522">
        <v>79.4</v>
      </c>
      <c r="H197" s="22">
        <v>5.7</v>
      </c>
      <c r="I197" s="22">
        <v>3.9</v>
      </c>
      <c r="J197" s="22">
        <v>0.4</v>
      </c>
      <c r="K197" s="22">
        <v>0</v>
      </c>
      <c r="L197" s="280" t="s">
        <v>7</v>
      </c>
    </row>
    <row r="198" spans="1:12" ht="15" customHeight="1">
      <c r="A198" s="40" t="s">
        <v>23</v>
      </c>
      <c r="B198" s="56"/>
      <c r="C198" s="9">
        <f>SUM(C194:C197)</f>
        <v>400</v>
      </c>
      <c r="D198" s="8">
        <f aca="true" t="shared" si="38" ref="D198:K198">SUM(D194:D197)</f>
        <v>13.106333333333332</v>
      </c>
      <c r="E198" s="8">
        <f t="shared" si="38"/>
        <v>11.7902</v>
      </c>
      <c r="F198" s="8">
        <f t="shared" si="38"/>
        <v>50.9738</v>
      </c>
      <c r="G198" s="206">
        <f t="shared" si="38"/>
        <v>358.79999999999995</v>
      </c>
      <c r="H198" s="8">
        <f t="shared" si="38"/>
        <v>264.91</v>
      </c>
      <c r="I198" s="8">
        <f t="shared" si="38"/>
        <v>57.550000000000004</v>
      </c>
      <c r="J198" s="8">
        <f t="shared" si="38"/>
        <v>1.3900000000000001</v>
      </c>
      <c r="K198" s="8">
        <f t="shared" si="38"/>
        <v>1.1833333333333333</v>
      </c>
      <c r="L198" s="282"/>
    </row>
    <row r="199" spans="1:20" ht="15" customHeight="1">
      <c r="A199" s="81" t="s">
        <v>53</v>
      </c>
      <c r="B199" s="1"/>
      <c r="C199" s="1"/>
      <c r="D199" s="5"/>
      <c r="E199" s="5"/>
      <c r="F199" s="5"/>
      <c r="G199" s="519"/>
      <c r="H199" s="5"/>
      <c r="I199" s="5"/>
      <c r="J199" s="5"/>
      <c r="K199" s="5"/>
      <c r="L199" s="282"/>
      <c r="N199" s="203"/>
      <c r="O199" s="203"/>
      <c r="P199" s="203"/>
      <c r="Q199" s="203"/>
      <c r="R199" s="203"/>
      <c r="S199" s="203"/>
      <c r="T199" s="203"/>
    </row>
    <row r="200" spans="1:12" ht="15" customHeight="1">
      <c r="A200" s="64"/>
      <c r="B200" s="242" t="s">
        <v>323</v>
      </c>
      <c r="C200" s="53">
        <v>136</v>
      </c>
      <c r="D200" s="3">
        <v>2.6</v>
      </c>
      <c r="E200" s="3">
        <v>1.5</v>
      </c>
      <c r="F200" s="3">
        <v>14.1</v>
      </c>
      <c r="G200" s="73">
        <v>90</v>
      </c>
      <c r="H200" s="3">
        <v>61</v>
      </c>
      <c r="I200" s="3">
        <v>25.2</v>
      </c>
      <c r="J200" s="3">
        <v>1.3</v>
      </c>
      <c r="K200" s="3">
        <v>22.8</v>
      </c>
      <c r="L200" s="281" t="s">
        <v>324</v>
      </c>
    </row>
    <row r="201" spans="1:12" ht="15" customHeight="1">
      <c r="A201" s="64"/>
      <c r="B201" s="46"/>
      <c r="C201" s="75">
        <f>SUM(C200)</f>
        <v>136</v>
      </c>
      <c r="D201" s="206">
        <f>SUM(D200)</f>
        <v>2.6</v>
      </c>
      <c r="E201" s="206">
        <f aca="true" t="shared" si="39" ref="E201:K201">SUM(E200)</f>
        <v>1.5</v>
      </c>
      <c r="F201" s="206">
        <f t="shared" si="39"/>
        <v>14.1</v>
      </c>
      <c r="G201" s="206">
        <f t="shared" si="39"/>
        <v>90</v>
      </c>
      <c r="H201" s="206">
        <f t="shared" si="39"/>
        <v>61</v>
      </c>
      <c r="I201" s="206">
        <f t="shared" si="39"/>
        <v>25.2</v>
      </c>
      <c r="J201" s="206">
        <f t="shared" si="39"/>
        <v>1.3</v>
      </c>
      <c r="K201" s="206">
        <f t="shared" si="39"/>
        <v>22.8</v>
      </c>
      <c r="L201" s="281"/>
    </row>
    <row r="202" spans="1:12" ht="15" customHeight="1">
      <c r="A202" s="40" t="s">
        <v>54</v>
      </c>
      <c r="B202" s="41"/>
      <c r="C202" s="1"/>
      <c r="D202" s="5"/>
      <c r="E202" s="5"/>
      <c r="F202" s="5"/>
      <c r="G202" s="519"/>
      <c r="H202" s="5"/>
      <c r="I202" s="5"/>
      <c r="J202" s="5"/>
      <c r="K202" s="5"/>
      <c r="L202" s="282"/>
    </row>
    <row r="203" spans="1:12" ht="15" customHeight="1">
      <c r="A203" s="58"/>
      <c r="B203" s="221" t="s">
        <v>501</v>
      </c>
      <c r="C203" s="23" t="s">
        <v>356</v>
      </c>
      <c r="D203" s="39">
        <v>0.38</v>
      </c>
      <c r="E203" s="39">
        <v>3.04</v>
      </c>
      <c r="F203" s="94">
        <v>1.19</v>
      </c>
      <c r="G203" s="547">
        <v>34</v>
      </c>
      <c r="H203" s="94">
        <v>10.9</v>
      </c>
      <c r="I203" s="94">
        <v>6.65</v>
      </c>
      <c r="J203" s="39">
        <v>0.29</v>
      </c>
      <c r="K203" s="39">
        <v>4.75</v>
      </c>
      <c r="L203" s="287" t="s">
        <v>369</v>
      </c>
    </row>
    <row r="204" spans="1:20" ht="15" customHeight="1">
      <c r="A204" s="65"/>
      <c r="B204" s="226" t="s">
        <v>510</v>
      </c>
      <c r="C204" s="27" t="s">
        <v>388</v>
      </c>
      <c r="D204" s="22">
        <v>3.019</v>
      </c>
      <c r="E204" s="22">
        <v>5.13</v>
      </c>
      <c r="F204" s="22">
        <v>10.648</v>
      </c>
      <c r="G204" s="522">
        <v>101</v>
      </c>
      <c r="H204" s="22">
        <v>48.555</v>
      </c>
      <c r="I204" s="22">
        <v>28.9125</v>
      </c>
      <c r="J204" s="22">
        <v>1.416</v>
      </c>
      <c r="K204" s="22">
        <v>6.524</v>
      </c>
      <c r="L204" s="287" t="s">
        <v>387</v>
      </c>
      <c r="M204" s="261"/>
      <c r="N204" s="261"/>
      <c r="O204" s="261"/>
      <c r="P204" s="261"/>
      <c r="Q204" s="261"/>
      <c r="R204" s="261"/>
      <c r="S204" s="261"/>
      <c r="T204" s="261"/>
    </row>
    <row r="205" spans="1:12" ht="15" customHeight="1">
      <c r="A205" s="40"/>
      <c r="B205" s="231" t="s">
        <v>511</v>
      </c>
      <c r="C205" s="111" t="s">
        <v>549</v>
      </c>
      <c r="D205" s="69">
        <v>14.1</v>
      </c>
      <c r="E205" s="69">
        <v>11.3</v>
      </c>
      <c r="F205" s="69">
        <v>4.6</v>
      </c>
      <c r="G205" s="529">
        <v>218</v>
      </c>
      <c r="H205" s="69">
        <v>32.6</v>
      </c>
      <c r="I205" s="69">
        <v>30.5</v>
      </c>
      <c r="J205" s="69">
        <v>1.4</v>
      </c>
      <c r="K205" s="69">
        <v>1</v>
      </c>
      <c r="L205" s="288" t="s">
        <v>367</v>
      </c>
    </row>
    <row r="206" spans="1:12" ht="15" customHeight="1">
      <c r="A206" s="58"/>
      <c r="B206" s="227" t="s">
        <v>81</v>
      </c>
      <c r="C206" s="35">
        <v>130</v>
      </c>
      <c r="D206" s="26">
        <v>2.2</v>
      </c>
      <c r="E206" s="26">
        <v>3.7</v>
      </c>
      <c r="F206" s="26">
        <v>23</v>
      </c>
      <c r="G206" s="523">
        <v>133.5</v>
      </c>
      <c r="H206" s="39">
        <v>3.6</v>
      </c>
      <c r="I206" s="39">
        <v>15.6</v>
      </c>
      <c r="J206" s="39">
        <v>0.4</v>
      </c>
      <c r="K206" s="26">
        <v>0</v>
      </c>
      <c r="L206" s="223" t="s">
        <v>41</v>
      </c>
    </row>
    <row r="207" spans="1:12" ht="15" customHeight="1">
      <c r="A207" s="4"/>
      <c r="B207" s="223" t="s">
        <v>512</v>
      </c>
      <c r="C207" s="27">
        <v>200</v>
      </c>
      <c r="D207" s="22">
        <v>0.12</v>
      </c>
      <c r="E207" s="22">
        <v>0</v>
      </c>
      <c r="F207" s="22">
        <v>21.6</v>
      </c>
      <c r="G207" s="522">
        <v>65.7</v>
      </c>
      <c r="H207" s="22">
        <v>8.6</v>
      </c>
      <c r="I207" s="22">
        <v>2.7</v>
      </c>
      <c r="J207" s="22">
        <v>0.7</v>
      </c>
      <c r="K207" s="22">
        <v>3</v>
      </c>
      <c r="L207" s="279" t="s">
        <v>469</v>
      </c>
    </row>
    <row r="208" spans="1:12" ht="15" customHeight="1">
      <c r="A208" s="4"/>
      <c r="B208" s="114" t="s">
        <v>104</v>
      </c>
      <c r="C208" s="27">
        <v>21</v>
      </c>
      <c r="D208" s="22">
        <v>1.65</v>
      </c>
      <c r="E208" s="22">
        <v>0.3</v>
      </c>
      <c r="F208" s="22">
        <v>10.35</v>
      </c>
      <c r="G208" s="522">
        <v>51</v>
      </c>
      <c r="H208" s="22">
        <v>4.949999999999999</v>
      </c>
      <c r="I208" s="22">
        <v>7.050000000000001</v>
      </c>
      <c r="J208" s="22">
        <v>0.45</v>
      </c>
      <c r="K208" s="22">
        <v>0</v>
      </c>
      <c r="L208" s="279" t="s">
        <v>22</v>
      </c>
    </row>
    <row r="209" spans="1:12" ht="15" customHeight="1">
      <c r="A209" s="4"/>
      <c r="B209" s="42" t="s">
        <v>38</v>
      </c>
      <c r="C209" s="23">
        <v>22</v>
      </c>
      <c r="D209" s="22">
        <f>D217*22/18</f>
        <v>1.292063492063492</v>
      </c>
      <c r="E209" s="22">
        <f aca="true" t="shared" si="40" ref="E209:K209">E217*22/18</f>
        <v>0.2584126984126984</v>
      </c>
      <c r="F209" s="22">
        <f t="shared" si="40"/>
        <v>7.70931216931217</v>
      </c>
      <c r="G209" s="522">
        <v>43</v>
      </c>
      <c r="H209" s="22">
        <f t="shared" si="40"/>
        <v>9.13058201058201</v>
      </c>
      <c r="I209" s="22">
        <f t="shared" si="40"/>
        <v>9.51820105820106</v>
      </c>
      <c r="J209" s="22">
        <f t="shared" si="40"/>
        <v>0.7752380952380953</v>
      </c>
      <c r="K209" s="22">
        <f t="shared" si="40"/>
        <v>0</v>
      </c>
      <c r="L209" s="280" t="s">
        <v>22</v>
      </c>
    </row>
    <row r="210" spans="1:12" ht="15" customHeight="1">
      <c r="A210" s="47" t="s">
        <v>27</v>
      </c>
      <c r="B210" s="56"/>
      <c r="C210" s="7">
        <v>772</v>
      </c>
      <c r="D210" s="8">
        <f aca="true" t="shared" si="41" ref="D210:K210">SUM(D203:D209)</f>
        <v>22.76106349206349</v>
      </c>
      <c r="E210" s="8">
        <f t="shared" si="41"/>
        <v>23.728412698412697</v>
      </c>
      <c r="F210" s="8">
        <f t="shared" si="41"/>
        <v>79.09731216931218</v>
      </c>
      <c r="G210" s="206">
        <f t="shared" si="41"/>
        <v>646.2</v>
      </c>
      <c r="H210" s="8">
        <f t="shared" si="41"/>
        <v>118.33558201058202</v>
      </c>
      <c r="I210" s="8">
        <f t="shared" si="41"/>
        <v>100.93070105820105</v>
      </c>
      <c r="J210" s="8">
        <f t="shared" si="41"/>
        <v>5.431238095238095</v>
      </c>
      <c r="K210" s="8">
        <f t="shared" si="41"/>
        <v>15.274000000000001</v>
      </c>
      <c r="L210" s="282"/>
    </row>
    <row r="211" spans="1:12" ht="13.5" customHeight="1">
      <c r="A211" s="45" t="s">
        <v>55</v>
      </c>
      <c r="B211" s="1"/>
      <c r="C211" s="1"/>
      <c r="D211" s="5"/>
      <c r="E211" s="5"/>
      <c r="F211" s="5"/>
      <c r="G211" s="520"/>
      <c r="H211" s="5"/>
      <c r="I211" s="5"/>
      <c r="J211" s="5"/>
      <c r="K211" s="5"/>
      <c r="L211" s="282"/>
    </row>
    <row r="212" spans="1:12" ht="15" customHeight="1">
      <c r="A212" s="2"/>
      <c r="B212" s="223" t="s">
        <v>513</v>
      </c>
      <c r="C212" s="35" t="s">
        <v>356</v>
      </c>
      <c r="D212" s="39">
        <v>0.7</v>
      </c>
      <c r="E212" s="39">
        <v>2.7</v>
      </c>
      <c r="F212" s="94">
        <v>3.2</v>
      </c>
      <c r="G212" s="547">
        <v>39</v>
      </c>
      <c r="H212" s="94">
        <v>11.833333333333334</v>
      </c>
      <c r="I212" s="94">
        <v>9.000000000000002</v>
      </c>
      <c r="J212" s="39">
        <v>0.33333333333333337</v>
      </c>
      <c r="K212" s="39">
        <v>9.333333333333332</v>
      </c>
      <c r="L212" s="287" t="s">
        <v>357</v>
      </c>
    </row>
    <row r="213" spans="1:12" ht="15" customHeight="1">
      <c r="A213" s="2"/>
      <c r="B213" s="324" t="s">
        <v>514</v>
      </c>
      <c r="C213" s="35">
        <v>180</v>
      </c>
      <c r="D213" s="86">
        <v>5.7375</v>
      </c>
      <c r="E213" s="86">
        <v>8.9775</v>
      </c>
      <c r="F213" s="86">
        <v>30.69</v>
      </c>
      <c r="G213" s="528">
        <v>229</v>
      </c>
      <c r="H213" s="86">
        <v>58.47749999999999</v>
      </c>
      <c r="I213" s="86">
        <v>45.6075</v>
      </c>
      <c r="J213" s="86">
        <v>1.8675000000000004</v>
      </c>
      <c r="K213" s="86">
        <v>44.73</v>
      </c>
      <c r="L213" s="287" t="s">
        <v>425</v>
      </c>
    </row>
    <row r="214" spans="1:12" ht="15" customHeight="1">
      <c r="A214" s="45"/>
      <c r="B214" s="220" t="s">
        <v>85</v>
      </c>
      <c r="C214" s="27" t="s">
        <v>423</v>
      </c>
      <c r="D214" s="22">
        <v>0.13</v>
      </c>
      <c r="E214" s="22">
        <v>0.02</v>
      </c>
      <c r="F214" s="22">
        <v>7.4</v>
      </c>
      <c r="G214" s="522">
        <v>30</v>
      </c>
      <c r="H214" s="22">
        <v>14.2</v>
      </c>
      <c r="I214" s="22">
        <v>2.4</v>
      </c>
      <c r="J214" s="22">
        <v>0.3</v>
      </c>
      <c r="K214" s="22">
        <v>3.14</v>
      </c>
      <c r="L214" s="311" t="s">
        <v>371</v>
      </c>
    </row>
    <row r="215" spans="1:12" ht="15" customHeight="1">
      <c r="A215" s="61"/>
      <c r="B215" s="226" t="s">
        <v>359</v>
      </c>
      <c r="C215" s="101">
        <v>50</v>
      </c>
      <c r="D215" s="25">
        <v>3.88</v>
      </c>
      <c r="E215" s="25">
        <v>2.36</v>
      </c>
      <c r="F215" s="25">
        <v>29.2</v>
      </c>
      <c r="G215" s="543">
        <v>141</v>
      </c>
      <c r="H215" s="25">
        <v>11</v>
      </c>
      <c r="I215" s="25">
        <v>14.5</v>
      </c>
      <c r="J215" s="25">
        <v>0.69</v>
      </c>
      <c r="K215" s="25">
        <v>0</v>
      </c>
      <c r="L215" s="302" t="s">
        <v>360</v>
      </c>
    </row>
    <row r="216" spans="1:12" ht="15" customHeight="1">
      <c r="A216" s="58"/>
      <c r="B216" s="243" t="s">
        <v>104</v>
      </c>
      <c r="C216" s="101">
        <v>21</v>
      </c>
      <c r="D216" s="25">
        <f>D237*21/27</f>
        <v>0.9166666666666666</v>
      </c>
      <c r="E216" s="25">
        <f aca="true" t="shared" si="42" ref="E216:K216">E237*21/27</f>
        <v>0.16666666666666666</v>
      </c>
      <c r="F216" s="25">
        <f t="shared" si="42"/>
        <v>5.75</v>
      </c>
      <c r="G216" s="543">
        <v>50.6</v>
      </c>
      <c r="H216" s="25">
        <f t="shared" si="42"/>
        <v>2.75</v>
      </c>
      <c r="I216" s="25">
        <f t="shared" si="42"/>
        <v>3.9166666666666665</v>
      </c>
      <c r="J216" s="25">
        <f t="shared" si="42"/>
        <v>0.25000000000000006</v>
      </c>
      <c r="K216" s="25">
        <f t="shared" si="42"/>
        <v>0</v>
      </c>
      <c r="L216" s="302" t="s">
        <v>22</v>
      </c>
    </row>
    <row r="217" spans="1:12" ht="15" customHeight="1">
      <c r="A217" s="58"/>
      <c r="B217" s="42" t="s">
        <v>38</v>
      </c>
      <c r="C217" s="33">
        <v>18</v>
      </c>
      <c r="D217" s="93">
        <f>D238*18/42</f>
        <v>1.057142857142857</v>
      </c>
      <c r="E217" s="93">
        <f aca="true" t="shared" si="43" ref="E217:K217">E238*18/42</f>
        <v>0.2114285714285714</v>
      </c>
      <c r="F217" s="93">
        <f t="shared" si="43"/>
        <v>6.307619047619048</v>
      </c>
      <c r="G217" s="527">
        <v>35.5</v>
      </c>
      <c r="H217" s="93">
        <f t="shared" si="43"/>
        <v>7.470476190476189</v>
      </c>
      <c r="I217" s="93">
        <f t="shared" si="43"/>
        <v>7.7876190476190486</v>
      </c>
      <c r="J217" s="93">
        <f t="shared" si="43"/>
        <v>0.6342857142857143</v>
      </c>
      <c r="K217" s="93">
        <f t="shared" si="43"/>
        <v>0</v>
      </c>
      <c r="L217" s="280" t="s">
        <v>22</v>
      </c>
    </row>
    <row r="218" spans="1:12" ht="15" customHeight="1">
      <c r="A218" s="44" t="s">
        <v>56</v>
      </c>
      <c r="B218" s="47"/>
      <c r="C218" s="7">
        <v>528</v>
      </c>
      <c r="D218" s="8">
        <f aca="true" t="shared" si="44" ref="D218:K218">SUM(D212:D217)</f>
        <v>12.421309523809523</v>
      </c>
      <c r="E218" s="8">
        <f t="shared" si="44"/>
        <v>14.435595238095235</v>
      </c>
      <c r="F218" s="8">
        <f t="shared" si="44"/>
        <v>82.54761904761904</v>
      </c>
      <c r="G218" s="206">
        <f t="shared" si="44"/>
        <v>525.1</v>
      </c>
      <c r="H218" s="8">
        <f t="shared" si="44"/>
        <v>105.73130952380951</v>
      </c>
      <c r="I218" s="8">
        <f t="shared" si="44"/>
        <v>83.21178571428571</v>
      </c>
      <c r="J218" s="8">
        <f t="shared" si="44"/>
        <v>4.075119047619047</v>
      </c>
      <c r="K218" s="8">
        <f t="shared" si="44"/>
        <v>57.20333333333333</v>
      </c>
      <c r="L218" s="282"/>
    </row>
    <row r="219" spans="1:12" ht="15.75">
      <c r="A219" s="55" t="s">
        <v>65</v>
      </c>
      <c r="B219" s="56"/>
      <c r="C219" s="7"/>
      <c r="D219" s="8">
        <f aca="true" t="shared" si="45" ref="D219:K219">SUM(D198,D201,D210,D218)</f>
        <v>50.888706349206345</v>
      </c>
      <c r="E219" s="8">
        <f t="shared" si="45"/>
        <v>51.45420793650793</v>
      </c>
      <c r="F219" s="8">
        <f t="shared" si="45"/>
        <v>226.7187312169312</v>
      </c>
      <c r="G219" s="206">
        <f t="shared" si="45"/>
        <v>1620.1</v>
      </c>
      <c r="H219" s="8">
        <f t="shared" si="45"/>
        <v>549.9768915343916</v>
      </c>
      <c r="I219" s="8">
        <f t="shared" si="45"/>
        <v>266.8924867724868</v>
      </c>
      <c r="J219" s="8">
        <f t="shared" si="45"/>
        <v>12.196357142857142</v>
      </c>
      <c r="K219" s="8">
        <f t="shared" si="45"/>
        <v>96.46066666666667</v>
      </c>
      <c r="L219" s="282"/>
    </row>
    <row r="220" spans="1:12" ht="15" customHeight="1">
      <c r="A220" s="45"/>
      <c r="B220" s="583"/>
      <c r="C220" s="584"/>
      <c r="D220" s="584"/>
      <c r="E220" s="584"/>
      <c r="F220" s="584"/>
      <c r="G220" s="584"/>
      <c r="H220" s="584"/>
      <c r="I220" s="584"/>
      <c r="J220" s="584"/>
      <c r="K220" s="585"/>
      <c r="L220" s="282"/>
    </row>
    <row r="221" spans="1:12" ht="15" customHeight="1">
      <c r="A221" s="55"/>
      <c r="B221" s="587" t="s">
        <v>71</v>
      </c>
      <c r="C221" s="587"/>
      <c r="D221" s="587"/>
      <c r="E221" s="587"/>
      <c r="F221" s="587"/>
      <c r="G221" s="587"/>
      <c r="H221" s="587"/>
      <c r="I221" s="587"/>
      <c r="J221" s="587"/>
      <c r="K221" s="587"/>
      <c r="L221" s="282"/>
    </row>
    <row r="222" spans="1:12" ht="15" customHeight="1">
      <c r="A222" s="40" t="s">
        <v>52</v>
      </c>
      <c r="B222" s="53"/>
      <c r="C222" s="53"/>
      <c r="D222" s="12"/>
      <c r="E222" s="12"/>
      <c r="F222" s="12"/>
      <c r="G222" s="520"/>
      <c r="H222" s="12"/>
      <c r="I222" s="12"/>
      <c r="J222" s="12"/>
      <c r="K222" s="12"/>
      <c r="L222" s="305"/>
    </row>
    <row r="223" spans="1:12" ht="15" customHeight="1">
      <c r="A223" s="58"/>
      <c r="B223" s="210" t="s">
        <v>374</v>
      </c>
      <c r="C223" s="98">
        <v>50</v>
      </c>
      <c r="D223" s="99">
        <v>0.55</v>
      </c>
      <c r="E223" s="99">
        <v>0</v>
      </c>
      <c r="F223" s="99">
        <v>2.5</v>
      </c>
      <c r="G223" s="531">
        <v>8</v>
      </c>
      <c r="H223" s="99">
        <v>7.000000000000001</v>
      </c>
      <c r="I223" s="99">
        <v>10</v>
      </c>
      <c r="J223" s="99">
        <v>0.45000000000000007</v>
      </c>
      <c r="K223" s="99">
        <v>12.5</v>
      </c>
      <c r="L223" s="292" t="s">
        <v>142</v>
      </c>
    </row>
    <row r="224" spans="1:12" ht="17.25" customHeight="1">
      <c r="A224" s="4"/>
      <c r="B224" s="221" t="s">
        <v>372</v>
      </c>
      <c r="C224" s="23">
        <v>130</v>
      </c>
      <c r="D224" s="34">
        <v>10.972000000000001</v>
      </c>
      <c r="E224" s="34">
        <v>18.59</v>
      </c>
      <c r="F224" s="34">
        <v>8.45</v>
      </c>
      <c r="G224" s="527">
        <v>245.5</v>
      </c>
      <c r="H224" s="95">
        <v>102.83</v>
      </c>
      <c r="I224" s="95">
        <v>18.98</v>
      </c>
      <c r="J224" s="24">
        <v>1.95</v>
      </c>
      <c r="K224" s="34">
        <v>2.21</v>
      </c>
      <c r="L224" s="287" t="s">
        <v>373</v>
      </c>
    </row>
    <row r="225" spans="1:12" ht="14.25" customHeight="1">
      <c r="A225" s="4"/>
      <c r="B225" s="431" t="s">
        <v>336</v>
      </c>
      <c r="C225" s="96">
        <v>190</v>
      </c>
      <c r="D225" s="68">
        <v>0.0475</v>
      </c>
      <c r="E225" s="68">
        <v>0.0152</v>
      </c>
      <c r="F225" s="116">
        <v>7.6</v>
      </c>
      <c r="G225" s="534">
        <v>26.5</v>
      </c>
      <c r="H225" s="116">
        <v>9.5</v>
      </c>
      <c r="I225" s="116">
        <v>1.235</v>
      </c>
      <c r="J225" s="116">
        <v>0.266</v>
      </c>
      <c r="K225" s="116">
        <v>0.0285</v>
      </c>
      <c r="L225" s="295" t="s">
        <v>460</v>
      </c>
    </row>
    <row r="226" spans="1:12" ht="15" customHeight="1">
      <c r="A226" s="40"/>
      <c r="B226" s="46" t="s">
        <v>36</v>
      </c>
      <c r="C226" s="33">
        <v>30</v>
      </c>
      <c r="D226" s="93">
        <v>2.3</v>
      </c>
      <c r="E226" s="93">
        <v>0.9</v>
      </c>
      <c r="F226" s="93">
        <v>15.4</v>
      </c>
      <c r="G226" s="527">
        <v>79</v>
      </c>
      <c r="H226" s="93">
        <v>5.7</v>
      </c>
      <c r="I226" s="93">
        <v>3.9</v>
      </c>
      <c r="J226" s="93">
        <v>0.4</v>
      </c>
      <c r="K226" s="93">
        <v>0</v>
      </c>
      <c r="L226" s="280" t="s">
        <v>7</v>
      </c>
    </row>
    <row r="227" spans="1:19" s="4" customFormat="1" ht="16.5" customHeight="1">
      <c r="A227" s="45" t="s">
        <v>23</v>
      </c>
      <c r="B227" s="47"/>
      <c r="C227" s="75">
        <f>SUM(C223:C226)</f>
        <v>400</v>
      </c>
      <c r="D227" s="8">
        <f aca="true" t="shared" si="46" ref="D227:K227">SUM(D223:D226)</f>
        <v>13.869500000000002</v>
      </c>
      <c r="E227" s="8">
        <f t="shared" si="46"/>
        <v>19.5052</v>
      </c>
      <c r="F227" s="8">
        <f t="shared" si="46"/>
        <v>33.949999999999996</v>
      </c>
      <c r="G227" s="206">
        <f t="shared" si="46"/>
        <v>359</v>
      </c>
      <c r="H227" s="8">
        <f t="shared" si="46"/>
        <v>125.03</v>
      </c>
      <c r="I227" s="8">
        <f t="shared" si="46"/>
        <v>34.115</v>
      </c>
      <c r="J227" s="8">
        <f t="shared" si="46"/>
        <v>3.066</v>
      </c>
      <c r="K227" s="8">
        <f t="shared" si="46"/>
        <v>14.7385</v>
      </c>
      <c r="L227" s="305"/>
      <c r="M227" s="205"/>
      <c r="N227" s="13"/>
      <c r="O227" s="13"/>
      <c r="P227" s="13"/>
      <c r="Q227" s="13"/>
      <c r="R227" s="13"/>
      <c r="S227" s="13"/>
    </row>
    <row r="228" spans="1:12" ht="15.75">
      <c r="A228" s="76" t="s">
        <v>53</v>
      </c>
      <c r="B228" s="46"/>
      <c r="C228" s="53"/>
      <c r="D228" s="3"/>
      <c r="E228" s="3"/>
      <c r="F228" s="3"/>
      <c r="G228" s="10"/>
      <c r="H228" s="3"/>
      <c r="I228" s="3"/>
      <c r="J228" s="3"/>
      <c r="K228" s="3"/>
      <c r="L228" s="281"/>
    </row>
    <row r="229" spans="1:12" ht="18" customHeight="1">
      <c r="A229" s="58"/>
      <c r="B229" s="46" t="s">
        <v>78</v>
      </c>
      <c r="C229" s="53">
        <v>200</v>
      </c>
      <c r="D229" s="3">
        <v>1</v>
      </c>
      <c r="E229" s="3">
        <v>0</v>
      </c>
      <c r="F229" s="3">
        <v>20.200000000000003</v>
      </c>
      <c r="G229" s="73">
        <v>90</v>
      </c>
      <c r="H229" s="3">
        <v>14</v>
      </c>
      <c r="I229" s="3">
        <v>8</v>
      </c>
      <c r="J229" s="3">
        <v>2.8</v>
      </c>
      <c r="K229" s="3">
        <v>4</v>
      </c>
      <c r="L229" s="281" t="s">
        <v>13</v>
      </c>
    </row>
    <row r="230" spans="1:12" ht="15" customHeight="1">
      <c r="A230" s="58"/>
      <c r="B230" s="42"/>
      <c r="C230" s="7">
        <f aca="true" t="shared" si="47" ref="C230:K230">SUM(C229)</f>
        <v>200</v>
      </c>
      <c r="D230" s="8">
        <f t="shared" si="47"/>
        <v>1</v>
      </c>
      <c r="E230" s="8">
        <f t="shared" si="47"/>
        <v>0</v>
      </c>
      <c r="F230" s="8">
        <f t="shared" si="47"/>
        <v>20.200000000000003</v>
      </c>
      <c r="G230" s="206">
        <f t="shared" si="47"/>
        <v>90</v>
      </c>
      <c r="H230" s="8">
        <f t="shared" si="47"/>
        <v>14</v>
      </c>
      <c r="I230" s="8">
        <f t="shared" si="47"/>
        <v>8</v>
      </c>
      <c r="J230" s="8">
        <f t="shared" si="47"/>
        <v>2.8</v>
      </c>
      <c r="K230" s="8">
        <f t="shared" si="47"/>
        <v>4</v>
      </c>
      <c r="L230" s="298"/>
    </row>
    <row r="231" spans="1:12" ht="15.75">
      <c r="A231" s="65" t="s">
        <v>54</v>
      </c>
      <c r="B231" s="53"/>
      <c r="C231" s="53"/>
      <c r="D231" s="3"/>
      <c r="E231" s="3"/>
      <c r="F231" s="3"/>
      <c r="G231" s="10"/>
      <c r="H231" s="3"/>
      <c r="I231" s="3"/>
      <c r="J231" s="3"/>
      <c r="K231" s="3"/>
      <c r="L231" s="305"/>
    </row>
    <row r="232" spans="1:12" ht="15" customHeight="1">
      <c r="A232" s="4"/>
      <c r="B232" s="221" t="s">
        <v>515</v>
      </c>
      <c r="C232" s="23" t="s">
        <v>345</v>
      </c>
      <c r="D232" s="39">
        <v>0.9</v>
      </c>
      <c r="E232" s="39">
        <v>2.7</v>
      </c>
      <c r="F232" s="39">
        <v>5.7</v>
      </c>
      <c r="G232" s="523">
        <v>51</v>
      </c>
      <c r="H232" s="24">
        <v>0</v>
      </c>
      <c r="I232" s="24">
        <v>0</v>
      </c>
      <c r="J232" s="24">
        <v>0</v>
      </c>
      <c r="K232" s="39">
        <v>0</v>
      </c>
      <c r="L232" s="287" t="s">
        <v>347</v>
      </c>
    </row>
    <row r="233" spans="1:12" ht="15" customHeight="1">
      <c r="A233" s="4"/>
      <c r="B233" s="262" t="s">
        <v>530</v>
      </c>
      <c r="C233" s="111" t="s">
        <v>531</v>
      </c>
      <c r="D233" s="22">
        <v>10</v>
      </c>
      <c r="E233" s="22">
        <v>4.8</v>
      </c>
      <c r="F233" s="22">
        <v>9.7</v>
      </c>
      <c r="G233" s="522">
        <v>122.5</v>
      </c>
      <c r="H233" s="39">
        <v>18.5</v>
      </c>
      <c r="I233" s="39">
        <v>37.9</v>
      </c>
      <c r="J233" s="39">
        <v>1</v>
      </c>
      <c r="K233" s="22">
        <v>0.4</v>
      </c>
      <c r="L233" s="287" t="s">
        <v>532</v>
      </c>
    </row>
    <row r="234" spans="1:12" ht="15" customHeight="1">
      <c r="A234" s="4"/>
      <c r="B234" s="262" t="s">
        <v>62</v>
      </c>
      <c r="C234" s="35">
        <v>150</v>
      </c>
      <c r="D234" s="22">
        <v>16.6</v>
      </c>
      <c r="E234" s="22">
        <v>7.4</v>
      </c>
      <c r="F234" s="22">
        <v>25.5</v>
      </c>
      <c r="G234" s="522">
        <v>223</v>
      </c>
      <c r="H234" s="22">
        <v>25.5</v>
      </c>
      <c r="I234" s="22">
        <v>28.7</v>
      </c>
      <c r="J234" s="22">
        <v>5.9</v>
      </c>
      <c r="K234" s="22">
        <v>8.7</v>
      </c>
      <c r="L234" s="287" t="s">
        <v>363</v>
      </c>
    </row>
    <row r="235" spans="1:12" ht="14.25" customHeight="1">
      <c r="A235" s="4"/>
      <c r="B235" s="427" t="s">
        <v>129</v>
      </c>
      <c r="C235" s="97">
        <v>30</v>
      </c>
      <c r="D235" s="31">
        <v>0.36</v>
      </c>
      <c r="E235" s="31">
        <v>1.28</v>
      </c>
      <c r="F235" s="31">
        <v>2.4</v>
      </c>
      <c r="G235" s="478">
        <v>23</v>
      </c>
      <c r="H235" s="31">
        <v>4.8</v>
      </c>
      <c r="I235" s="31">
        <v>3.4</v>
      </c>
      <c r="J235" s="31">
        <v>0.2</v>
      </c>
      <c r="K235" s="31">
        <v>0.7</v>
      </c>
      <c r="L235" s="312" t="s">
        <v>130</v>
      </c>
    </row>
    <row r="236" spans="1:12" ht="15.75" customHeight="1">
      <c r="A236" s="4"/>
      <c r="B236" s="60" t="s">
        <v>516</v>
      </c>
      <c r="C236" s="35">
        <v>200</v>
      </c>
      <c r="D236" s="36">
        <v>0.68</v>
      </c>
      <c r="E236" s="36">
        <v>0.28</v>
      </c>
      <c r="F236" s="36">
        <v>19.74</v>
      </c>
      <c r="G236" s="529">
        <v>84</v>
      </c>
      <c r="H236" s="36">
        <v>21.3</v>
      </c>
      <c r="I236" s="36">
        <v>3.4</v>
      </c>
      <c r="J236" s="36">
        <v>0.63</v>
      </c>
      <c r="K236" s="36">
        <v>100</v>
      </c>
      <c r="L236" s="289" t="s">
        <v>15</v>
      </c>
    </row>
    <row r="237" spans="1:12" ht="15" customHeight="1">
      <c r="A237" s="4"/>
      <c r="B237" s="192" t="s">
        <v>37</v>
      </c>
      <c r="C237" s="33">
        <v>15</v>
      </c>
      <c r="D237" s="93">
        <v>1.1785714285714286</v>
      </c>
      <c r="E237" s="93">
        <v>0.21428571428571427</v>
      </c>
      <c r="F237" s="93">
        <v>7.392857142857143</v>
      </c>
      <c r="G237" s="527">
        <v>36</v>
      </c>
      <c r="H237" s="93">
        <v>3.5357142857142856</v>
      </c>
      <c r="I237" s="93">
        <v>5.035714285714286</v>
      </c>
      <c r="J237" s="93">
        <v>0.32142857142857145</v>
      </c>
      <c r="K237" s="93">
        <v>0</v>
      </c>
      <c r="L237" s="280" t="s">
        <v>21</v>
      </c>
    </row>
    <row r="238" spans="1:12" ht="15" customHeight="1">
      <c r="A238" s="4"/>
      <c r="B238" s="42" t="s">
        <v>38</v>
      </c>
      <c r="C238" s="23">
        <v>37</v>
      </c>
      <c r="D238" s="22">
        <v>2.4666666666666663</v>
      </c>
      <c r="E238" s="22">
        <v>0.4933333333333333</v>
      </c>
      <c r="F238" s="22">
        <v>14.717777777777778</v>
      </c>
      <c r="G238" s="522">
        <v>74</v>
      </c>
      <c r="H238" s="22">
        <v>17.431111111111107</v>
      </c>
      <c r="I238" s="22">
        <v>18.171111111111113</v>
      </c>
      <c r="J238" s="22">
        <v>1.48</v>
      </c>
      <c r="K238" s="22">
        <v>0</v>
      </c>
      <c r="L238" s="280" t="s">
        <v>22</v>
      </c>
    </row>
    <row r="239" spans="1:12" ht="15" customHeight="1">
      <c r="A239" s="47" t="s">
        <v>27</v>
      </c>
      <c r="B239" s="47"/>
      <c r="C239" s="7">
        <v>711</v>
      </c>
      <c r="D239" s="8">
        <f aca="true" t="shared" si="48" ref="D239:K239">SUM(D232:D238)</f>
        <v>32.18523809523809</v>
      </c>
      <c r="E239" s="8">
        <f t="shared" si="48"/>
        <v>17.16761904761905</v>
      </c>
      <c r="F239" s="8">
        <f t="shared" si="48"/>
        <v>85.15063492063491</v>
      </c>
      <c r="G239" s="206">
        <f t="shared" si="48"/>
        <v>613.5</v>
      </c>
      <c r="H239" s="8">
        <f t="shared" si="48"/>
        <v>91.0668253968254</v>
      </c>
      <c r="I239" s="8">
        <f t="shared" si="48"/>
        <v>96.60682539682541</v>
      </c>
      <c r="J239" s="8">
        <f t="shared" si="48"/>
        <v>9.531428571428572</v>
      </c>
      <c r="K239" s="8">
        <f t="shared" si="48"/>
        <v>109.8</v>
      </c>
      <c r="L239" s="305"/>
    </row>
    <row r="240" spans="1:12" ht="15" customHeight="1">
      <c r="A240" s="45" t="s">
        <v>55</v>
      </c>
      <c r="B240" s="53"/>
      <c r="C240" s="53"/>
      <c r="D240" s="3"/>
      <c r="E240" s="3"/>
      <c r="F240" s="3"/>
      <c r="G240" s="10"/>
      <c r="H240" s="3"/>
      <c r="I240" s="3"/>
      <c r="J240" s="3"/>
      <c r="K240" s="3"/>
      <c r="L240" s="305"/>
    </row>
    <row r="241" spans="1:12" ht="15" customHeight="1">
      <c r="A241" s="4"/>
      <c r="B241" s="221" t="s">
        <v>440</v>
      </c>
      <c r="C241" s="23">
        <v>50</v>
      </c>
      <c r="D241" s="39">
        <v>1.7000000000000002</v>
      </c>
      <c r="E241" s="39">
        <v>3.95</v>
      </c>
      <c r="F241" s="39">
        <v>1.4500000000000002</v>
      </c>
      <c r="G241" s="523">
        <v>31.5</v>
      </c>
      <c r="H241" s="39">
        <v>14.833333333333334</v>
      </c>
      <c r="I241" s="39">
        <v>5.333333333333334</v>
      </c>
      <c r="J241" s="39">
        <v>0.5</v>
      </c>
      <c r="K241" s="39">
        <v>12</v>
      </c>
      <c r="L241" s="287" t="s">
        <v>441</v>
      </c>
    </row>
    <row r="242" spans="1:12" ht="15" customHeight="1">
      <c r="A242" s="4"/>
      <c r="B242" s="232" t="s">
        <v>379</v>
      </c>
      <c r="C242" s="103">
        <v>190</v>
      </c>
      <c r="D242" s="105">
        <v>14.7</v>
      </c>
      <c r="E242" s="105">
        <v>18.180000000000003</v>
      </c>
      <c r="F242" s="105">
        <v>31.272000000000002</v>
      </c>
      <c r="G242" s="539">
        <v>189.5</v>
      </c>
      <c r="H242" s="105">
        <v>208.56000000000003</v>
      </c>
      <c r="I242" s="105">
        <v>48.419999999999995</v>
      </c>
      <c r="J242" s="105">
        <v>1.44</v>
      </c>
      <c r="K242" s="105">
        <v>2.7</v>
      </c>
      <c r="L242" s="300" t="s">
        <v>554</v>
      </c>
    </row>
    <row r="243" spans="1:12" ht="15" customHeight="1">
      <c r="A243" s="4"/>
      <c r="B243" s="226" t="s">
        <v>341</v>
      </c>
      <c r="C243" s="35">
        <v>40</v>
      </c>
      <c r="D243" s="22">
        <v>2.8</v>
      </c>
      <c r="E243" s="22">
        <v>0.19999999999999998</v>
      </c>
      <c r="F243" s="22">
        <v>13</v>
      </c>
      <c r="G243" s="522">
        <v>36</v>
      </c>
      <c r="H243" s="22">
        <v>0</v>
      </c>
      <c r="I243" s="22">
        <v>0</v>
      </c>
      <c r="J243" s="22">
        <v>0</v>
      </c>
      <c r="K243" s="22">
        <v>0</v>
      </c>
      <c r="L243" s="287" t="s">
        <v>3</v>
      </c>
    </row>
    <row r="244" spans="1:12" ht="15" customHeight="1">
      <c r="A244" s="4"/>
      <c r="B244" s="104" t="s">
        <v>377</v>
      </c>
      <c r="C244" s="101">
        <v>180</v>
      </c>
      <c r="D244" s="25">
        <v>5.22</v>
      </c>
      <c r="E244" s="25">
        <v>4.5</v>
      </c>
      <c r="F244" s="25">
        <v>7.56</v>
      </c>
      <c r="G244" s="543">
        <v>91.6</v>
      </c>
      <c r="H244" s="25">
        <v>223.2</v>
      </c>
      <c r="I244" s="25">
        <v>25.2</v>
      </c>
      <c r="J244" s="25">
        <v>0.2</v>
      </c>
      <c r="K244" s="102">
        <v>0.54</v>
      </c>
      <c r="L244" s="302" t="s">
        <v>11</v>
      </c>
    </row>
    <row r="245" spans="1:12" ht="15" customHeight="1">
      <c r="A245" s="4"/>
      <c r="B245" s="263" t="s">
        <v>368</v>
      </c>
      <c r="C245" s="101">
        <v>38</v>
      </c>
      <c r="D245" s="25">
        <v>2.9314285714285715</v>
      </c>
      <c r="E245" s="25">
        <v>3.8</v>
      </c>
      <c r="F245" s="25">
        <v>30.4</v>
      </c>
      <c r="G245" s="543">
        <v>143.5</v>
      </c>
      <c r="H245" s="25">
        <v>11.182857142857145</v>
      </c>
      <c r="I245" s="25">
        <v>7.6</v>
      </c>
      <c r="J245" s="25">
        <v>0.8685714285714287</v>
      </c>
      <c r="K245" s="102">
        <v>0</v>
      </c>
      <c r="L245" s="302" t="s">
        <v>3</v>
      </c>
    </row>
    <row r="246" spans="1:12" ht="13.5" customHeight="1">
      <c r="A246" s="4"/>
      <c r="B246" s="42" t="s">
        <v>37</v>
      </c>
      <c r="C246" s="33">
        <v>27</v>
      </c>
      <c r="D246" s="93">
        <v>2.1214285714285714</v>
      </c>
      <c r="E246" s="93">
        <v>0.38571428571428573</v>
      </c>
      <c r="F246" s="93">
        <v>13.307142857142857</v>
      </c>
      <c r="G246" s="527">
        <v>65.5</v>
      </c>
      <c r="H246" s="93">
        <v>6.364285714285714</v>
      </c>
      <c r="I246" s="93">
        <v>9.064285714285715</v>
      </c>
      <c r="J246" s="93">
        <v>0.5785714285714286</v>
      </c>
      <c r="K246" s="93">
        <v>0</v>
      </c>
      <c r="L246" s="280" t="s">
        <v>21</v>
      </c>
    </row>
    <row r="247" spans="1:12" ht="15" customHeight="1">
      <c r="A247" s="45" t="s">
        <v>56</v>
      </c>
      <c r="B247" s="47"/>
      <c r="C247" s="7">
        <f>SUM(C241:C246)</f>
        <v>525</v>
      </c>
      <c r="D247" s="8">
        <f aca="true" t="shared" si="49" ref="D247:K247">SUM(D241:D246)</f>
        <v>29.47285714285714</v>
      </c>
      <c r="E247" s="8">
        <f t="shared" si="49"/>
        <v>31.01571428571429</v>
      </c>
      <c r="F247" s="8">
        <f t="shared" si="49"/>
        <v>96.98914285714287</v>
      </c>
      <c r="G247" s="206">
        <f>SUM(G241:G246)</f>
        <v>557.6</v>
      </c>
      <c r="H247" s="8">
        <f t="shared" si="49"/>
        <v>464.1404761904762</v>
      </c>
      <c r="I247" s="8">
        <f t="shared" si="49"/>
        <v>95.61761904761904</v>
      </c>
      <c r="J247" s="8">
        <f t="shared" si="49"/>
        <v>3.5871428571428576</v>
      </c>
      <c r="K247" s="8">
        <f t="shared" si="49"/>
        <v>15.239999999999998</v>
      </c>
      <c r="L247" s="305"/>
    </row>
    <row r="248" spans="1:12" ht="18" customHeight="1">
      <c r="A248" s="55" t="s">
        <v>66</v>
      </c>
      <c r="B248" s="47"/>
      <c r="C248" s="7"/>
      <c r="D248" s="8">
        <f aca="true" t="shared" si="50" ref="D248:K248">SUM(D227,D230,D239,D247)</f>
        <v>76.52759523809523</v>
      </c>
      <c r="E248" s="8">
        <f t="shared" si="50"/>
        <v>67.68853333333334</v>
      </c>
      <c r="F248" s="8">
        <f t="shared" si="50"/>
        <v>236.28977777777777</v>
      </c>
      <c r="G248" s="206">
        <f t="shared" si="50"/>
        <v>1620.1</v>
      </c>
      <c r="H248" s="8">
        <f t="shared" si="50"/>
        <v>694.2373015873015</v>
      </c>
      <c r="I248" s="8">
        <f t="shared" si="50"/>
        <v>234.33944444444444</v>
      </c>
      <c r="J248" s="8">
        <f t="shared" si="50"/>
        <v>18.984571428571428</v>
      </c>
      <c r="K248" s="8">
        <f t="shared" si="50"/>
        <v>143.7785</v>
      </c>
      <c r="L248" s="305"/>
    </row>
    <row r="249" spans="1:12" ht="15" customHeight="1">
      <c r="A249" s="4"/>
      <c r="B249" s="583"/>
      <c r="C249" s="584"/>
      <c r="D249" s="584"/>
      <c r="E249" s="584"/>
      <c r="F249" s="584"/>
      <c r="G249" s="584"/>
      <c r="H249" s="584"/>
      <c r="I249" s="584"/>
      <c r="J249" s="584"/>
      <c r="K249" s="585"/>
      <c r="L249" s="282"/>
    </row>
    <row r="250" spans="1:12" ht="15" customHeight="1">
      <c r="A250" s="4"/>
      <c r="B250" s="587" t="s">
        <v>70</v>
      </c>
      <c r="C250" s="587"/>
      <c r="D250" s="587"/>
      <c r="E250" s="587"/>
      <c r="F250" s="587"/>
      <c r="G250" s="587"/>
      <c r="H250" s="587"/>
      <c r="I250" s="587"/>
      <c r="J250" s="587"/>
      <c r="K250" s="587"/>
      <c r="L250" s="282"/>
    </row>
    <row r="251" spans="1:12" ht="15" customHeight="1">
      <c r="A251" s="40" t="s">
        <v>52</v>
      </c>
      <c r="B251" s="207"/>
      <c r="C251" s="29"/>
      <c r="D251" s="208"/>
      <c r="E251" s="208"/>
      <c r="F251" s="208"/>
      <c r="G251" s="548"/>
      <c r="H251" s="208"/>
      <c r="I251" s="208"/>
      <c r="J251" s="208"/>
      <c r="K251" s="208"/>
      <c r="L251" s="313"/>
    </row>
    <row r="252" spans="1:12" ht="15" customHeight="1">
      <c r="A252" s="58"/>
      <c r="B252" s="66" t="s">
        <v>484</v>
      </c>
      <c r="C252" s="1">
        <v>5</v>
      </c>
      <c r="D252" s="5">
        <v>0.04</v>
      </c>
      <c r="E252" s="5">
        <v>1.48</v>
      </c>
      <c r="F252" s="128">
        <v>0.65</v>
      </c>
      <c r="G252" s="477">
        <v>32.5</v>
      </c>
      <c r="H252" s="128">
        <v>4</v>
      </c>
      <c r="I252" s="128">
        <v>0</v>
      </c>
      <c r="J252" s="128">
        <v>0</v>
      </c>
      <c r="K252" s="5">
        <v>0</v>
      </c>
      <c r="L252" s="277" t="s">
        <v>485</v>
      </c>
    </row>
    <row r="253" spans="1:12" ht="15" customHeight="1">
      <c r="A253" s="58"/>
      <c r="B253" s="66" t="s">
        <v>112</v>
      </c>
      <c r="C253" s="1">
        <v>200</v>
      </c>
      <c r="D253" s="5">
        <v>5</v>
      </c>
      <c r="E253" s="5">
        <v>5.865</v>
      </c>
      <c r="F253" s="128">
        <v>18.975</v>
      </c>
      <c r="G253" s="477">
        <v>151</v>
      </c>
      <c r="H253" s="128">
        <v>185.95499999999998</v>
      </c>
      <c r="I253" s="128">
        <v>33.235</v>
      </c>
      <c r="J253" s="128">
        <v>0.575</v>
      </c>
      <c r="K253" s="5">
        <v>1.035</v>
      </c>
      <c r="L253" s="277" t="s">
        <v>10</v>
      </c>
    </row>
    <row r="254" spans="1:12" ht="17.25" customHeight="1">
      <c r="A254" s="202"/>
      <c r="B254" s="245" t="s">
        <v>393</v>
      </c>
      <c r="C254" s="211">
        <v>180</v>
      </c>
      <c r="D254" s="212">
        <v>2.646</v>
      </c>
      <c r="E254" s="212">
        <v>1.7910000000000001</v>
      </c>
      <c r="F254" s="212">
        <v>18.828000000000003</v>
      </c>
      <c r="G254" s="549">
        <v>101.5</v>
      </c>
      <c r="H254" s="212">
        <v>115.9</v>
      </c>
      <c r="I254" s="212">
        <v>11.6</v>
      </c>
      <c r="J254" s="212">
        <v>0.1</v>
      </c>
      <c r="K254" s="212">
        <v>0.3</v>
      </c>
      <c r="L254" s="314" t="s">
        <v>394</v>
      </c>
    </row>
    <row r="255" spans="1:17" ht="17.25" customHeight="1">
      <c r="A255" s="13"/>
      <c r="B255" s="246" t="s">
        <v>36</v>
      </c>
      <c r="C255" s="213">
        <v>30</v>
      </c>
      <c r="D255" s="116">
        <v>2.3</v>
      </c>
      <c r="E255" s="116">
        <v>0.9</v>
      </c>
      <c r="F255" s="116">
        <v>15.4</v>
      </c>
      <c r="G255" s="534">
        <v>78.5</v>
      </c>
      <c r="H255" s="116">
        <v>5.7</v>
      </c>
      <c r="I255" s="116">
        <v>3.9</v>
      </c>
      <c r="J255" s="116">
        <v>0.4</v>
      </c>
      <c r="K255" s="116">
        <v>0</v>
      </c>
      <c r="L255" s="315" t="s">
        <v>7</v>
      </c>
      <c r="M255" s="261"/>
      <c r="N255" s="261"/>
      <c r="O255" s="261"/>
      <c r="P255" s="261"/>
      <c r="Q255" s="261"/>
    </row>
    <row r="256" spans="1:12" ht="15.75">
      <c r="A256" s="45" t="s">
        <v>23</v>
      </c>
      <c r="B256" s="56"/>
      <c r="C256" s="7">
        <f>SUM(C252:C255)</f>
        <v>415</v>
      </c>
      <c r="D256" s="8">
        <f>SUM(D252:D255)</f>
        <v>9.986</v>
      </c>
      <c r="E256" s="8">
        <f aca="true" t="shared" si="51" ref="E256:K256">SUM(E252:E255)</f>
        <v>10.036000000000001</v>
      </c>
      <c r="F256" s="8">
        <f t="shared" si="51"/>
        <v>53.853</v>
      </c>
      <c r="G256" s="206">
        <f t="shared" si="51"/>
        <v>363.5</v>
      </c>
      <c r="H256" s="8">
        <f t="shared" si="51"/>
        <v>311.555</v>
      </c>
      <c r="I256" s="8">
        <f t="shared" si="51"/>
        <v>48.735</v>
      </c>
      <c r="J256" s="8">
        <f t="shared" si="51"/>
        <v>1.075</v>
      </c>
      <c r="K256" s="8">
        <f t="shared" si="51"/>
        <v>1.335</v>
      </c>
      <c r="L256" s="305"/>
    </row>
    <row r="257" spans="1:17" ht="15.75">
      <c r="A257" s="77" t="s">
        <v>53</v>
      </c>
      <c r="B257" s="42"/>
      <c r="C257" s="1"/>
      <c r="D257" s="5"/>
      <c r="E257" s="5"/>
      <c r="F257" s="5"/>
      <c r="G257" s="519"/>
      <c r="H257" s="5"/>
      <c r="I257" s="5"/>
      <c r="J257" s="5"/>
      <c r="K257" s="5"/>
      <c r="L257" s="282"/>
      <c r="N257" s="203"/>
      <c r="O257" s="203"/>
      <c r="P257" s="203"/>
      <c r="Q257" s="203"/>
    </row>
    <row r="258" spans="1:12" ht="18" customHeight="1">
      <c r="A258" s="58"/>
      <c r="B258" s="235" t="s">
        <v>323</v>
      </c>
      <c r="C258" s="53">
        <v>136</v>
      </c>
      <c r="D258" s="3">
        <v>2.6</v>
      </c>
      <c r="E258" s="3">
        <v>1.5</v>
      </c>
      <c r="F258" s="3">
        <v>14.1</v>
      </c>
      <c r="G258" s="73">
        <v>90</v>
      </c>
      <c r="H258" s="3">
        <v>61</v>
      </c>
      <c r="I258" s="3">
        <v>25.2</v>
      </c>
      <c r="J258" s="3">
        <v>1.3</v>
      </c>
      <c r="K258" s="3">
        <v>22.8</v>
      </c>
      <c r="L258" s="281" t="s">
        <v>324</v>
      </c>
    </row>
    <row r="259" spans="1:12" ht="15" customHeight="1">
      <c r="A259" s="58"/>
      <c r="B259" s="46"/>
      <c r="C259" s="7">
        <v>136</v>
      </c>
      <c r="D259" s="8">
        <f aca="true" t="shared" si="52" ref="D259:K259">SUM(D258:D258)</f>
        <v>2.6</v>
      </c>
      <c r="E259" s="8">
        <f t="shared" si="52"/>
        <v>1.5</v>
      </c>
      <c r="F259" s="8">
        <f t="shared" si="52"/>
        <v>14.1</v>
      </c>
      <c r="G259" s="206">
        <f t="shared" si="52"/>
        <v>90</v>
      </c>
      <c r="H259" s="8">
        <f t="shared" si="52"/>
        <v>61</v>
      </c>
      <c r="I259" s="8">
        <f t="shared" si="52"/>
        <v>25.2</v>
      </c>
      <c r="J259" s="8">
        <f t="shared" si="52"/>
        <v>1.3</v>
      </c>
      <c r="K259" s="8">
        <f t="shared" si="52"/>
        <v>22.8</v>
      </c>
      <c r="L259" s="281"/>
    </row>
    <row r="260" spans="1:12" ht="16.5" customHeight="1">
      <c r="A260" s="40" t="s">
        <v>54</v>
      </c>
      <c r="B260" s="41"/>
      <c r="C260" s="1"/>
      <c r="D260" s="5"/>
      <c r="E260" s="5"/>
      <c r="F260" s="5"/>
      <c r="G260" s="519"/>
      <c r="H260" s="5"/>
      <c r="I260" s="5"/>
      <c r="J260" s="5"/>
      <c r="K260" s="5"/>
      <c r="L260" s="282"/>
    </row>
    <row r="261" spans="1:12" ht="18.75" customHeight="1">
      <c r="A261" s="4"/>
      <c r="B261" s="214" t="s">
        <v>564</v>
      </c>
      <c r="C261" s="23" t="s">
        <v>386</v>
      </c>
      <c r="D261" s="39">
        <v>0.84</v>
      </c>
      <c r="E261" s="39">
        <v>3</v>
      </c>
      <c r="F261" s="39">
        <v>3.6</v>
      </c>
      <c r="G261" s="523">
        <v>52.8</v>
      </c>
      <c r="H261" s="24">
        <v>22.44</v>
      </c>
      <c r="I261" s="24">
        <v>9.12</v>
      </c>
      <c r="J261" s="24">
        <v>0.3600000000000001</v>
      </c>
      <c r="K261" s="39">
        <v>19.44</v>
      </c>
      <c r="L261" s="287" t="s">
        <v>487</v>
      </c>
    </row>
    <row r="262" spans="1:12" ht="18" customHeight="1">
      <c r="A262" s="4"/>
      <c r="B262" s="226" t="s">
        <v>522</v>
      </c>
      <c r="C262" s="23" t="s">
        <v>488</v>
      </c>
      <c r="D262" s="22">
        <v>3.6919999999999997</v>
      </c>
      <c r="E262" s="22">
        <v>5.412000000000001</v>
      </c>
      <c r="F262" s="22">
        <v>8.096</v>
      </c>
      <c r="G262" s="522">
        <v>99</v>
      </c>
      <c r="H262" s="39">
        <v>25.867333333333335</v>
      </c>
      <c r="I262" s="39">
        <v>24.687333333333335</v>
      </c>
      <c r="J262" s="39">
        <v>0.8940000000000001</v>
      </c>
      <c r="K262" s="22">
        <v>19.02</v>
      </c>
      <c r="L262" s="283" t="s">
        <v>451</v>
      </c>
    </row>
    <row r="263" spans="1:12" ht="18" customHeight="1">
      <c r="A263" s="4"/>
      <c r="B263" s="247" t="s">
        <v>99</v>
      </c>
      <c r="C263" s="97">
        <v>70</v>
      </c>
      <c r="D263" s="129">
        <v>12.35</v>
      </c>
      <c r="E263" s="129">
        <v>11.34</v>
      </c>
      <c r="F263" s="129">
        <v>12.6</v>
      </c>
      <c r="G263" s="536">
        <v>202.3</v>
      </c>
      <c r="H263" s="129">
        <v>14.2</v>
      </c>
      <c r="I263" s="129">
        <v>18.8</v>
      </c>
      <c r="J263" s="129">
        <v>1.3</v>
      </c>
      <c r="K263" s="129">
        <v>0.6</v>
      </c>
      <c r="L263" s="317" t="s">
        <v>98</v>
      </c>
    </row>
    <row r="264" spans="1:19" ht="16.5" customHeight="1">
      <c r="A264" s="4"/>
      <c r="B264" s="217" t="s">
        <v>449</v>
      </c>
      <c r="C264" s="215">
        <v>130</v>
      </c>
      <c r="D264" s="216">
        <v>3</v>
      </c>
      <c r="E264" s="216">
        <v>3.2</v>
      </c>
      <c r="F264" s="216">
        <v>17.1</v>
      </c>
      <c r="G264" s="550">
        <v>110</v>
      </c>
      <c r="H264" s="216">
        <v>51.7</v>
      </c>
      <c r="I264" s="216">
        <v>24.2</v>
      </c>
      <c r="J264" s="216">
        <v>0.8</v>
      </c>
      <c r="K264" s="216">
        <v>14</v>
      </c>
      <c r="L264" s="286" t="s">
        <v>450</v>
      </c>
      <c r="M264" s="261"/>
      <c r="N264" s="261"/>
      <c r="O264" s="261"/>
      <c r="P264" s="261"/>
      <c r="Q264" s="261"/>
      <c r="R264" s="261"/>
      <c r="S264" s="261"/>
    </row>
    <row r="265" spans="1:12" ht="15" customHeight="1">
      <c r="A265" s="4"/>
      <c r="B265" s="220" t="s">
        <v>517</v>
      </c>
      <c r="C265" s="27">
        <v>200</v>
      </c>
      <c r="D265" s="22">
        <v>0.44</v>
      </c>
      <c r="E265" s="22">
        <v>0.02</v>
      </c>
      <c r="F265" s="22">
        <v>27.9</v>
      </c>
      <c r="G265" s="522">
        <v>105.4</v>
      </c>
      <c r="H265" s="22">
        <v>31.8</v>
      </c>
      <c r="I265" s="22">
        <v>6</v>
      </c>
      <c r="J265" s="22">
        <v>1.2</v>
      </c>
      <c r="K265" s="22">
        <v>0.4</v>
      </c>
      <c r="L265" s="279" t="s">
        <v>9</v>
      </c>
    </row>
    <row r="266" spans="1:12" ht="15" customHeight="1">
      <c r="A266" s="4"/>
      <c r="B266" s="49" t="s">
        <v>37</v>
      </c>
      <c r="C266" s="33">
        <v>14</v>
      </c>
      <c r="D266" s="93">
        <v>1.1</v>
      </c>
      <c r="E266" s="93">
        <v>0.2</v>
      </c>
      <c r="F266" s="93">
        <v>6.9</v>
      </c>
      <c r="G266" s="527">
        <v>34</v>
      </c>
      <c r="H266" s="93">
        <v>3.3</v>
      </c>
      <c r="I266" s="93">
        <v>4.7</v>
      </c>
      <c r="J266" s="93">
        <v>0.3</v>
      </c>
      <c r="K266" s="93">
        <v>0</v>
      </c>
      <c r="L266" s="280" t="s">
        <v>21</v>
      </c>
    </row>
    <row r="267" spans="1:12" ht="15" customHeight="1">
      <c r="A267" s="4"/>
      <c r="B267" s="46" t="s">
        <v>38</v>
      </c>
      <c r="C267" s="23">
        <v>12</v>
      </c>
      <c r="D267" s="22">
        <v>0.8800000000000001</v>
      </c>
      <c r="E267" s="22">
        <v>0.16000000000000003</v>
      </c>
      <c r="F267" s="22">
        <v>4.96</v>
      </c>
      <c r="G267" s="522">
        <v>26.4</v>
      </c>
      <c r="H267" s="22">
        <v>4.239999999999999</v>
      </c>
      <c r="I267" s="22">
        <v>5.679999999999999</v>
      </c>
      <c r="J267" s="22">
        <v>0.4799999999999999</v>
      </c>
      <c r="K267" s="22">
        <v>0</v>
      </c>
      <c r="L267" s="280" t="s">
        <v>22</v>
      </c>
    </row>
    <row r="268" spans="1:12" ht="15" customHeight="1">
      <c r="A268" s="47" t="s">
        <v>27</v>
      </c>
      <c r="B268" s="56"/>
      <c r="C268" s="53">
        <v>700</v>
      </c>
      <c r="D268" s="8">
        <f aca="true" t="shared" si="53" ref="D268:K268">SUM(D261:D267)</f>
        <v>22.302</v>
      </c>
      <c r="E268" s="8">
        <f t="shared" si="53"/>
        <v>23.332</v>
      </c>
      <c r="F268" s="8">
        <f t="shared" si="53"/>
        <v>81.15599999999999</v>
      </c>
      <c r="G268" s="206">
        <f t="shared" si="53"/>
        <v>629.9</v>
      </c>
      <c r="H268" s="8">
        <f t="shared" si="53"/>
        <v>153.54733333333337</v>
      </c>
      <c r="I268" s="8">
        <f t="shared" si="53"/>
        <v>93.18733333333333</v>
      </c>
      <c r="J268" s="8">
        <f t="shared" si="53"/>
        <v>5.334</v>
      </c>
      <c r="K268" s="8">
        <f t="shared" si="53"/>
        <v>53.46</v>
      </c>
      <c r="L268" s="282"/>
    </row>
    <row r="269" spans="1:12" ht="15" customHeight="1">
      <c r="A269" s="45" t="s">
        <v>55</v>
      </c>
      <c r="B269" s="1"/>
      <c r="C269" s="1"/>
      <c r="D269" s="5"/>
      <c r="E269" s="5"/>
      <c r="F269" s="5"/>
      <c r="G269" s="519"/>
      <c r="H269" s="5"/>
      <c r="I269" s="5"/>
      <c r="J269" s="5"/>
      <c r="K269" s="5"/>
      <c r="L269" s="282"/>
    </row>
    <row r="270" spans="1:12" ht="14.25" customHeight="1">
      <c r="A270" s="4"/>
      <c r="B270" s="221" t="s">
        <v>518</v>
      </c>
      <c r="C270" s="23" t="s">
        <v>356</v>
      </c>
      <c r="D270" s="26">
        <v>0.4</v>
      </c>
      <c r="E270" s="26">
        <v>4</v>
      </c>
      <c r="F270" s="26">
        <v>0.9</v>
      </c>
      <c r="G270" s="523">
        <v>45</v>
      </c>
      <c r="H270" s="24">
        <v>5.3</v>
      </c>
      <c r="I270" s="24">
        <v>3.3</v>
      </c>
      <c r="J270" s="24">
        <v>0.3</v>
      </c>
      <c r="K270" s="26">
        <v>8.1</v>
      </c>
      <c r="L270" s="283" t="s">
        <v>375</v>
      </c>
    </row>
    <row r="271" spans="1:12" ht="16.5" customHeight="1">
      <c r="A271" s="4"/>
      <c r="B271" s="239" t="s">
        <v>365</v>
      </c>
      <c r="C271" s="106">
        <v>80</v>
      </c>
      <c r="D271" s="86">
        <v>9.426666666666666</v>
      </c>
      <c r="E271" s="86">
        <v>2.72</v>
      </c>
      <c r="F271" s="86">
        <v>10.066666666666666</v>
      </c>
      <c r="G271" s="528">
        <v>103</v>
      </c>
      <c r="H271" s="86">
        <v>26.1</v>
      </c>
      <c r="I271" s="86">
        <v>32.8</v>
      </c>
      <c r="J271" s="86">
        <v>0.7</v>
      </c>
      <c r="K271" s="86">
        <v>0.2533333333333333</v>
      </c>
      <c r="L271" s="288" t="s">
        <v>366</v>
      </c>
    </row>
    <row r="272" spans="1:12" ht="15" customHeight="1">
      <c r="A272" s="4"/>
      <c r="B272" s="60" t="s">
        <v>133</v>
      </c>
      <c r="C272" s="35">
        <v>130</v>
      </c>
      <c r="D272" s="36">
        <v>2.34</v>
      </c>
      <c r="E272" s="36">
        <v>5.286666666666667</v>
      </c>
      <c r="F272" s="36">
        <v>13.78</v>
      </c>
      <c r="G272" s="529">
        <v>112</v>
      </c>
      <c r="H272" s="36">
        <v>38.82666666666667</v>
      </c>
      <c r="I272" s="36">
        <v>27.473333333333333</v>
      </c>
      <c r="J272" s="36">
        <v>1.1266666666666667</v>
      </c>
      <c r="K272" s="36">
        <v>11.44</v>
      </c>
      <c r="L272" s="289" t="s">
        <v>134</v>
      </c>
    </row>
    <row r="273" spans="1:12" ht="15" customHeight="1">
      <c r="A273" s="4"/>
      <c r="B273" s="224" t="s">
        <v>555</v>
      </c>
      <c r="C273" s="87">
        <v>60</v>
      </c>
      <c r="D273" s="70">
        <v>4.32</v>
      </c>
      <c r="E273" s="70">
        <v>3.6</v>
      </c>
      <c r="F273" s="70">
        <v>24.84</v>
      </c>
      <c r="G273" s="530">
        <v>149</v>
      </c>
      <c r="H273" s="70">
        <v>38.52</v>
      </c>
      <c r="I273" s="70">
        <v>12.48</v>
      </c>
      <c r="J273" s="70">
        <v>0.6</v>
      </c>
      <c r="K273" s="71">
        <v>15.84</v>
      </c>
      <c r="L273" s="290" t="s">
        <v>118</v>
      </c>
    </row>
    <row r="274" spans="1:12" ht="15" customHeight="1">
      <c r="A274" s="4"/>
      <c r="B274" s="220" t="s">
        <v>80</v>
      </c>
      <c r="C274" s="27">
        <v>180</v>
      </c>
      <c r="D274" s="22">
        <v>2.67</v>
      </c>
      <c r="E274" s="22">
        <v>2.34</v>
      </c>
      <c r="F274" s="22">
        <v>11.3</v>
      </c>
      <c r="G274" s="522">
        <v>76.5</v>
      </c>
      <c r="H274" s="22">
        <v>113.9</v>
      </c>
      <c r="I274" s="22">
        <v>13.9</v>
      </c>
      <c r="J274" s="22">
        <v>0.37</v>
      </c>
      <c r="K274" s="22">
        <v>1.32</v>
      </c>
      <c r="L274" s="279" t="s">
        <v>18</v>
      </c>
    </row>
    <row r="275" spans="1:12" ht="15" customHeight="1">
      <c r="A275" s="4"/>
      <c r="B275" s="46" t="s">
        <v>38</v>
      </c>
      <c r="C275" s="33">
        <v>25</v>
      </c>
      <c r="D275" s="93">
        <v>1.8333333333333335</v>
      </c>
      <c r="E275" s="93">
        <v>0.3333333333333333</v>
      </c>
      <c r="F275" s="93">
        <v>10.333333333333334</v>
      </c>
      <c r="G275" s="527">
        <v>51</v>
      </c>
      <c r="H275" s="93">
        <v>8.833333333333332</v>
      </c>
      <c r="I275" s="93">
        <v>11.833333333333332</v>
      </c>
      <c r="J275" s="93">
        <v>1</v>
      </c>
      <c r="K275" s="93">
        <v>0</v>
      </c>
      <c r="L275" s="280" t="s">
        <v>22</v>
      </c>
    </row>
    <row r="276" spans="1:12" ht="15" customHeight="1">
      <c r="A276" s="45" t="s">
        <v>56</v>
      </c>
      <c r="B276" s="51"/>
      <c r="C276" s="7">
        <v>526</v>
      </c>
      <c r="D276" s="8">
        <f>SUM(D270:D275)</f>
        <v>20.99</v>
      </c>
      <c r="E276" s="8">
        <f aca="true" t="shared" si="54" ref="E276:K276">SUM(E270:E275)</f>
        <v>18.279999999999998</v>
      </c>
      <c r="F276" s="8">
        <f t="shared" si="54"/>
        <v>71.22</v>
      </c>
      <c r="G276" s="206">
        <f t="shared" si="54"/>
        <v>536.5</v>
      </c>
      <c r="H276" s="8">
        <f t="shared" si="54"/>
        <v>231.48000000000002</v>
      </c>
      <c r="I276" s="8">
        <f t="shared" si="54"/>
        <v>101.78666666666666</v>
      </c>
      <c r="J276" s="8">
        <f t="shared" si="54"/>
        <v>4.096666666666668</v>
      </c>
      <c r="K276" s="8">
        <f t="shared" si="54"/>
        <v>36.95333333333333</v>
      </c>
      <c r="L276" s="282"/>
    </row>
    <row r="277" spans="1:12" ht="23.25" customHeight="1">
      <c r="A277" s="55" t="s">
        <v>67</v>
      </c>
      <c r="B277" s="56"/>
      <c r="C277" s="7"/>
      <c r="D277" s="8">
        <f aca="true" t="shared" si="55" ref="D277:K277">SUM(D256,D259,D268,D276)</f>
        <v>55.878</v>
      </c>
      <c r="E277" s="8">
        <f t="shared" si="55"/>
        <v>53.147999999999996</v>
      </c>
      <c r="F277" s="8">
        <f t="shared" si="55"/>
        <v>220.32899999999998</v>
      </c>
      <c r="G277" s="206">
        <f t="shared" si="55"/>
        <v>1619.9</v>
      </c>
      <c r="H277" s="8">
        <f t="shared" si="55"/>
        <v>757.5823333333334</v>
      </c>
      <c r="I277" s="8">
        <f t="shared" si="55"/>
        <v>268.909</v>
      </c>
      <c r="J277" s="8">
        <f t="shared" si="55"/>
        <v>11.805666666666667</v>
      </c>
      <c r="K277" s="8">
        <f t="shared" si="55"/>
        <v>114.54833333333333</v>
      </c>
      <c r="L277" s="282"/>
    </row>
    <row r="278" spans="1:12" ht="15" customHeight="1">
      <c r="A278" s="4"/>
      <c r="B278" s="583"/>
      <c r="C278" s="584"/>
      <c r="D278" s="584"/>
      <c r="E278" s="584"/>
      <c r="F278" s="584"/>
      <c r="G278" s="584"/>
      <c r="H278" s="584"/>
      <c r="I278" s="584"/>
      <c r="J278" s="584"/>
      <c r="K278" s="585"/>
      <c r="L278" s="282"/>
    </row>
    <row r="279" spans="1:12" ht="15" customHeight="1">
      <c r="A279" s="4"/>
      <c r="B279" s="587" t="s">
        <v>69</v>
      </c>
      <c r="C279" s="587"/>
      <c r="D279" s="587"/>
      <c r="E279" s="587"/>
      <c r="F279" s="587"/>
      <c r="G279" s="587"/>
      <c r="H279" s="587"/>
      <c r="I279" s="587"/>
      <c r="J279" s="587"/>
      <c r="K279" s="587"/>
      <c r="L279" s="282"/>
    </row>
    <row r="280" spans="1:12" ht="15" customHeight="1">
      <c r="A280" s="40" t="s">
        <v>52</v>
      </c>
      <c r="B280" s="41"/>
      <c r="C280" s="1"/>
      <c r="D280" s="12"/>
      <c r="E280" s="12"/>
      <c r="F280" s="12"/>
      <c r="G280" s="520"/>
      <c r="H280" s="12"/>
      <c r="I280" s="12"/>
      <c r="J280" s="12"/>
      <c r="K280" s="12"/>
      <c r="L280" s="282"/>
    </row>
    <row r="281" spans="1:12" ht="15" customHeight="1">
      <c r="A281" s="4"/>
      <c r="B281" s="226" t="s">
        <v>427</v>
      </c>
      <c r="C281" s="27">
        <v>200</v>
      </c>
      <c r="D281" s="22">
        <v>6.2</v>
      </c>
      <c r="E281" s="22">
        <v>6.2</v>
      </c>
      <c r="F281" s="22">
        <v>17.3</v>
      </c>
      <c r="G281" s="522">
        <v>149.5</v>
      </c>
      <c r="H281" s="22">
        <v>178.38666666666666</v>
      </c>
      <c r="I281" s="22">
        <v>35.61333333333334</v>
      </c>
      <c r="J281" s="22">
        <v>0.7200000000000001</v>
      </c>
      <c r="K281" s="22">
        <v>1</v>
      </c>
      <c r="L281" s="283" t="s">
        <v>428</v>
      </c>
    </row>
    <row r="282" spans="1:12" ht="15" customHeight="1">
      <c r="A282" s="4"/>
      <c r="B282" s="255" t="s">
        <v>115</v>
      </c>
      <c r="C282" s="27">
        <v>180</v>
      </c>
      <c r="D282" s="68">
        <v>5.481</v>
      </c>
      <c r="E282" s="68">
        <v>4.878</v>
      </c>
      <c r="F282" s="68">
        <v>10.2</v>
      </c>
      <c r="G282" s="524">
        <v>101.5</v>
      </c>
      <c r="H282" s="68">
        <v>226.8</v>
      </c>
      <c r="I282" s="68">
        <v>26.5</v>
      </c>
      <c r="J282" s="68">
        <v>0.19</v>
      </c>
      <c r="K282" s="68">
        <v>2.4570000000000003</v>
      </c>
      <c r="L282" s="304" t="s">
        <v>352</v>
      </c>
    </row>
    <row r="283" spans="1:12" ht="15" customHeight="1">
      <c r="A283" s="4"/>
      <c r="B283" s="246" t="s">
        <v>36</v>
      </c>
      <c r="C283" s="254">
        <v>30</v>
      </c>
      <c r="D283" s="116">
        <v>2.3</v>
      </c>
      <c r="E283" s="116">
        <v>0.9</v>
      </c>
      <c r="F283" s="116">
        <v>15.3</v>
      </c>
      <c r="G283" s="534">
        <v>79</v>
      </c>
      <c r="H283" s="116">
        <v>5.7</v>
      </c>
      <c r="I283" s="116">
        <v>3.9</v>
      </c>
      <c r="J283" s="116">
        <v>0.4</v>
      </c>
      <c r="K283" s="116">
        <v>0</v>
      </c>
      <c r="L283" s="318" t="s">
        <v>7</v>
      </c>
    </row>
    <row r="284" spans="1:12" ht="15" customHeight="1">
      <c r="A284" s="4"/>
      <c r="B284" s="221" t="s">
        <v>433</v>
      </c>
      <c r="C284" s="107">
        <v>8</v>
      </c>
      <c r="D284" s="26">
        <v>0.11200000000000002</v>
      </c>
      <c r="E284" s="26">
        <v>0.784</v>
      </c>
      <c r="F284" s="26">
        <v>5.952</v>
      </c>
      <c r="G284" s="523">
        <v>28.4</v>
      </c>
      <c r="H284" s="26">
        <v>2</v>
      </c>
      <c r="I284" s="26">
        <v>3.9200000000000004</v>
      </c>
      <c r="J284" s="26">
        <v>0.22400000000000003</v>
      </c>
      <c r="K284" s="26">
        <v>0</v>
      </c>
      <c r="L284" s="287" t="s">
        <v>3</v>
      </c>
    </row>
    <row r="285" spans="1:12" ht="15" customHeight="1">
      <c r="A285" s="47" t="s">
        <v>23</v>
      </c>
      <c r="C285" s="7">
        <f>SUM(C281:C284)</f>
        <v>418</v>
      </c>
      <c r="D285" s="8">
        <f aca="true" t="shared" si="56" ref="D285:K285">SUM(D281:D284)</f>
        <v>14.093000000000002</v>
      </c>
      <c r="E285" s="8">
        <f t="shared" si="56"/>
        <v>12.762</v>
      </c>
      <c r="F285" s="8">
        <f t="shared" si="56"/>
        <v>48.751999999999995</v>
      </c>
      <c r="G285" s="206">
        <f t="shared" si="56"/>
        <v>358.4</v>
      </c>
      <c r="H285" s="8">
        <f t="shared" si="56"/>
        <v>412.88666666666666</v>
      </c>
      <c r="I285" s="8">
        <f t="shared" si="56"/>
        <v>69.93333333333334</v>
      </c>
      <c r="J285" s="8">
        <f t="shared" si="56"/>
        <v>1.534</v>
      </c>
      <c r="K285" s="8">
        <f t="shared" si="56"/>
        <v>3.4570000000000003</v>
      </c>
      <c r="L285" s="282"/>
    </row>
    <row r="286" spans="1:12" ht="15" customHeight="1">
      <c r="A286" s="77" t="s">
        <v>53</v>
      </c>
      <c r="B286" s="41"/>
      <c r="C286" s="1"/>
      <c r="D286" s="5"/>
      <c r="E286" s="5"/>
      <c r="F286" s="5"/>
      <c r="G286" s="519"/>
      <c r="H286" s="5"/>
      <c r="I286" s="5"/>
      <c r="J286" s="5"/>
      <c r="K286" s="5"/>
      <c r="L286" s="282"/>
    </row>
    <row r="287" spans="1:12" ht="15" customHeight="1">
      <c r="A287" s="64"/>
      <c r="B287" s="231" t="s">
        <v>78</v>
      </c>
      <c r="C287" s="196">
        <v>200</v>
      </c>
      <c r="D287" s="73">
        <v>1</v>
      </c>
      <c r="E287" s="73">
        <v>0</v>
      </c>
      <c r="F287" s="73">
        <v>20.200000000000003</v>
      </c>
      <c r="G287" s="73">
        <v>90</v>
      </c>
      <c r="H287" s="73">
        <v>14</v>
      </c>
      <c r="I287" s="73">
        <v>8</v>
      </c>
      <c r="J287" s="73">
        <v>2.8</v>
      </c>
      <c r="K287" s="73">
        <v>4</v>
      </c>
      <c r="L287" s="319" t="s">
        <v>13</v>
      </c>
    </row>
    <row r="288" spans="1:12" ht="15" customHeight="1">
      <c r="A288" s="64"/>
      <c r="B288" s="46"/>
      <c r="C288" s="75">
        <f>SUM(C287)</f>
        <v>200</v>
      </c>
      <c r="D288" s="206">
        <f>SUM(D287)</f>
        <v>1</v>
      </c>
      <c r="E288" s="206">
        <f aca="true" t="shared" si="57" ref="E288:K288">SUM(E287)</f>
        <v>0</v>
      </c>
      <c r="F288" s="206">
        <f t="shared" si="57"/>
        <v>20.200000000000003</v>
      </c>
      <c r="G288" s="206">
        <f t="shared" si="57"/>
        <v>90</v>
      </c>
      <c r="H288" s="206">
        <f t="shared" si="57"/>
        <v>14</v>
      </c>
      <c r="I288" s="206">
        <f t="shared" si="57"/>
        <v>8</v>
      </c>
      <c r="J288" s="206">
        <f t="shared" si="57"/>
        <v>2.8</v>
      </c>
      <c r="K288" s="206">
        <f t="shared" si="57"/>
        <v>4</v>
      </c>
      <c r="L288" s="281"/>
    </row>
    <row r="289" spans="1:12" ht="15" customHeight="1">
      <c r="A289" s="40" t="s">
        <v>54</v>
      </c>
      <c r="B289" s="41"/>
      <c r="C289" s="1"/>
      <c r="D289" s="5"/>
      <c r="E289" s="5"/>
      <c r="F289" s="5"/>
      <c r="G289" s="519"/>
      <c r="H289" s="5"/>
      <c r="I289" s="5"/>
      <c r="J289" s="5"/>
      <c r="K289" s="5"/>
      <c r="L289" s="282"/>
    </row>
    <row r="290" spans="1:12" ht="15" customHeight="1">
      <c r="A290" s="4"/>
      <c r="B290" s="221" t="s">
        <v>519</v>
      </c>
      <c r="C290" s="23" t="s">
        <v>386</v>
      </c>
      <c r="D290" s="39">
        <v>0.48</v>
      </c>
      <c r="E290" s="39">
        <v>4.8</v>
      </c>
      <c r="F290" s="39">
        <v>1.32</v>
      </c>
      <c r="G290" s="523">
        <v>53.4</v>
      </c>
      <c r="H290" s="24">
        <v>13.68</v>
      </c>
      <c r="I290" s="24">
        <v>7.68</v>
      </c>
      <c r="J290" s="24">
        <v>0.36</v>
      </c>
      <c r="K290" s="39">
        <v>5.52</v>
      </c>
      <c r="L290" s="287" t="s">
        <v>307</v>
      </c>
    </row>
    <row r="291" spans="1:12" ht="15" customHeight="1">
      <c r="A291" s="4"/>
      <c r="B291" s="226" t="s">
        <v>520</v>
      </c>
      <c r="C291" s="23" t="s">
        <v>565</v>
      </c>
      <c r="D291" s="22">
        <v>2.144</v>
      </c>
      <c r="E291" s="22">
        <v>2.272</v>
      </c>
      <c r="F291" s="22">
        <v>13.712</v>
      </c>
      <c r="G291" s="522">
        <v>82.5</v>
      </c>
      <c r="H291" s="22">
        <v>19.7</v>
      </c>
      <c r="I291" s="22">
        <v>21.6</v>
      </c>
      <c r="J291" s="22">
        <v>0.9</v>
      </c>
      <c r="K291" s="22">
        <v>6.6</v>
      </c>
      <c r="L291" s="287" t="s">
        <v>378</v>
      </c>
    </row>
    <row r="292" spans="1:12" ht="15" customHeight="1">
      <c r="A292" s="4"/>
      <c r="B292" s="223" t="s">
        <v>490</v>
      </c>
      <c r="C292" s="82">
        <v>80</v>
      </c>
      <c r="D292" s="265">
        <v>10.9</v>
      </c>
      <c r="E292" s="265">
        <v>8.8</v>
      </c>
      <c r="F292" s="265">
        <v>11.9</v>
      </c>
      <c r="G292" s="535">
        <v>173</v>
      </c>
      <c r="H292" s="68">
        <v>14</v>
      </c>
      <c r="I292" s="68">
        <v>23.1</v>
      </c>
      <c r="J292" s="68">
        <v>1.2</v>
      </c>
      <c r="K292" s="265">
        <v>0</v>
      </c>
      <c r="L292" s="288" t="s">
        <v>489</v>
      </c>
    </row>
    <row r="293" spans="1:12" ht="15" customHeight="1">
      <c r="A293" s="4"/>
      <c r="B293" s="223" t="s">
        <v>40</v>
      </c>
      <c r="C293" s="264">
        <v>130</v>
      </c>
      <c r="D293" s="268">
        <v>4</v>
      </c>
      <c r="E293" s="268">
        <v>4.4</v>
      </c>
      <c r="F293" s="268">
        <v>19.7</v>
      </c>
      <c r="G293" s="536">
        <v>126</v>
      </c>
      <c r="H293" s="116">
        <v>7.3</v>
      </c>
      <c r="I293" s="116">
        <v>62.4</v>
      </c>
      <c r="J293" s="116">
        <v>2.1</v>
      </c>
      <c r="K293" s="268">
        <v>0</v>
      </c>
      <c r="L293" s="323" t="s">
        <v>41</v>
      </c>
    </row>
    <row r="294" spans="1:12" ht="15" customHeight="1">
      <c r="A294" s="4"/>
      <c r="B294" s="227" t="s">
        <v>521</v>
      </c>
      <c r="C294" s="23">
        <v>200</v>
      </c>
      <c r="D294" s="266">
        <v>0.16</v>
      </c>
      <c r="E294" s="267">
        <v>0.12</v>
      </c>
      <c r="F294" s="266">
        <v>16.7</v>
      </c>
      <c r="G294" s="521">
        <v>62</v>
      </c>
      <c r="H294" s="37">
        <v>0.86</v>
      </c>
      <c r="I294" s="37">
        <v>15.9</v>
      </c>
      <c r="J294" s="37">
        <v>4.8</v>
      </c>
      <c r="K294" s="90">
        <v>1</v>
      </c>
      <c r="L294" s="279" t="s">
        <v>14</v>
      </c>
    </row>
    <row r="295" spans="1:12" ht="15" customHeight="1">
      <c r="A295" s="4"/>
      <c r="B295" s="49" t="s">
        <v>37</v>
      </c>
      <c r="C295" s="33">
        <v>23</v>
      </c>
      <c r="D295" s="93">
        <v>2.0456632653061226</v>
      </c>
      <c r="E295" s="93">
        <v>0.3719387755102041</v>
      </c>
      <c r="F295" s="93">
        <v>12.831887755102041</v>
      </c>
      <c r="G295" s="521">
        <v>61.5</v>
      </c>
      <c r="H295" s="93">
        <v>6.1369897959183675</v>
      </c>
      <c r="I295" s="93">
        <v>8.740561224489797</v>
      </c>
      <c r="J295" s="93">
        <v>0.5579081632653062</v>
      </c>
      <c r="K295" s="93">
        <v>0</v>
      </c>
      <c r="L295" s="280" t="s">
        <v>21</v>
      </c>
    </row>
    <row r="296" spans="1:12" ht="15" customHeight="1">
      <c r="A296" s="4"/>
      <c r="B296" s="46" t="s">
        <v>38</v>
      </c>
      <c r="C296" s="33">
        <v>36</v>
      </c>
      <c r="D296" s="93">
        <f>D238*36/42</f>
        <v>2.114285714285714</v>
      </c>
      <c r="E296" s="93">
        <f>E238*36/42</f>
        <v>0.4228571428571428</v>
      </c>
      <c r="F296" s="93">
        <f>F238*36/42</f>
        <v>12.615238095238096</v>
      </c>
      <c r="G296" s="527">
        <v>71.5</v>
      </c>
      <c r="H296" s="93">
        <f>H238*36/42</f>
        <v>14.940952380952378</v>
      </c>
      <c r="I296" s="93">
        <f>I238*36/42</f>
        <v>15.575238095238097</v>
      </c>
      <c r="J296" s="93">
        <f>J238*36/42</f>
        <v>1.2685714285714287</v>
      </c>
      <c r="K296" s="93">
        <f>K238*36/42</f>
        <v>0</v>
      </c>
      <c r="L296" s="280" t="s">
        <v>22</v>
      </c>
    </row>
    <row r="297" spans="1:12" ht="15" customHeight="1">
      <c r="A297" s="270" t="s">
        <v>27</v>
      </c>
      <c r="B297" s="269"/>
      <c r="C297" s="7">
        <v>731</v>
      </c>
      <c r="D297" s="8">
        <f aca="true" t="shared" si="58" ref="D297:K297">SUM(D290:D296)</f>
        <v>21.843948979591836</v>
      </c>
      <c r="E297" s="8">
        <f t="shared" si="58"/>
        <v>21.18679591836735</v>
      </c>
      <c r="F297" s="8">
        <f t="shared" si="58"/>
        <v>88.77912585034015</v>
      </c>
      <c r="G297" s="206">
        <f t="shared" si="58"/>
        <v>629.9</v>
      </c>
      <c r="H297" s="8">
        <f t="shared" si="58"/>
        <v>76.61794217687074</v>
      </c>
      <c r="I297" s="8">
        <f t="shared" si="58"/>
        <v>154.9957993197279</v>
      </c>
      <c r="J297" s="8">
        <f t="shared" si="58"/>
        <v>11.186479591836735</v>
      </c>
      <c r="K297" s="8">
        <f t="shared" si="58"/>
        <v>13.12</v>
      </c>
      <c r="L297" s="305"/>
    </row>
    <row r="298" spans="1:12" ht="15" customHeight="1">
      <c r="A298" s="45" t="s">
        <v>55</v>
      </c>
      <c r="B298" s="78"/>
      <c r="C298" s="1"/>
      <c r="D298" s="5"/>
      <c r="E298" s="5"/>
      <c r="F298" s="5"/>
      <c r="G298" s="519"/>
      <c r="H298" s="5"/>
      <c r="I298" s="5"/>
      <c r="J298" s="5"/>
      <c r="K298" s="5"/>
      <c r="L298" s="305"/>
    </row>
    <row r="299" spans="1:12" ht="15" customHeight="1">
      <c r="A299" s="4"/>
      <c r="B299" s="221" t="s">
        <v>557</v>
      </c>
      <c r="C299" s="23" t="s">
        <v>356</v>
      </c>
      <c r="D299" s="26">
        <v>0.8333333333333334</v>
      </c>
      <c r="E299" s="26">
        <v>3.0000000000000004</v>
      </c>
      <c r="F299" s="26">
        <v>2.5</v>
      </c>
      <c r="G299" s="523">
        <v>42</v>
      </c>
      <c r="H299" s="26">
        <v>18.000000000000004</v>
      </c>
      <c r="I299" s="26">
        <v>9.166666666666666</v>
      </c>
      <c r="J299" s="26">
        <v>0.33333333333333337</v>
      </c>
      <c r="K299" s="26">
        <v>25.833333333333336</v>
      </c>
      <c r="L299" s="283" t="s">
        <v>390</v>
      </c>
    </row>
    <row r="300" spans="1:12" ht="15" customHeight="1">
      <c r="A300" s="4"/>
      <c r="B300" s="248" t="s">
        <v>431</v>
      </c>
      <c r="C300" s="35">
        <v>200</v>
      </c>
      <c r="D300" s="115">
        <v>3.24</v>
      </c>
      <c r="E300" s="115">
        <v>17.36</v>
      </c>
      <c r="F300" s="115">
        <v>18.26</v>
      </c>
      <c r="G300" s="551">
        <v>242</v>
      </c>
      <c r="H300" s="115">
        <v>53.8</v>
      </c>
      <c r="I300" s="115">
        <v>35.2</v>
      </c>
      <c r="J300" s="115">
        <v>1.2</v>
      </c>
      <c r="K300" s="115">
        <v>11.06</v>
      </c>
      <c r="L300" s="113" t="s">
        <v>432</v>
      </c>
    </row>
    <row r="301" spans="1:12" ht="15" customHeight="1">
      <c r="A301" s="4"/>
      <c r="B301" s="431" t="s">
        <v>551</v>
      </c>
      <c r="C301" s="557">
        <v>200</v>
      </c>
      <c r="D301" s="37">
        <v>0.3</v>
      </c>
      <c r="E301" s="37">
        <v>0</v>
      </c>
      <c r="F301" s="37">
        <v>9.7</v>
      </c>
      <c r="G301" s="477">
        <v>37</v>
      </c>
      <c r="H301" s="37">
        <v>9</v>
      </c>
      <c r="I301" s="37">
        <v>6</v>
      </c>
      <c r="J301" s="37">
        <v>0.94</v>
      </c>
      <c r="K301" s="37">
        <v>2.64</v>
      </c>
      <c r="L301" s="279" t="s">
        <v>552</v>
      </c>
    </row>
    <row r="302" spans="1:12" ht="15" customHeight="1">
      <c r="A302" s="4"/>
      <c r="B302" s="230" t="s">
        <v>429</v>
      </c>
      <c r="C302" s="96">
        <v>65</v>
      </c>
      <c r="D302" s="37">
        <v>8.0925</v>
      </c>
      <c r="E302" s="37">
        <v>6.2725</v>
      </c>
      <c r="F302" s="37">
        <v>28.166666666666668</v>
      </c>
      <c r="G302" s="477">
        <v>185</v>
      </c>
      <c r="H302" s="37">
        <v>45.175</v>
      </c>
      <c r="I302" s="37">
        <v>18.2</v>
      </c>
      <c r="J302" s="37">
        <v>0.7799999999999999</v>
      </c>
      <c r="K302" s="37">
        <v>0.010833333333333334</v>
      </c>
      <c r="L302" s="379" t="s">
        <v>430</v>
      </c>
    </row>
    <row r="303" spans="1:12" ht="15" customHeight="1">
      <c r="A303" s="4"/>
      <c r="B303" s="380" t="s">
        <v>37</v>
      </c>
      <c r="C303" s="381">
        <v>15</v>
      </c>
      <c r="D303" s="120">
        <v>1.1785714285714286</v>
      </c>
      <c r="E303" s="120">
        <v>0.21428571428571427</v>
      </c>
      <c r="F303" s="120">
        <v>7.392857142857143</v>
      </c>
      <c r="G303" s="477">
        <v>36</v>
      </c>
      <c r="H303" s="120">
        <v>3.5357142857142856</v>
      </c>
      <c r="I303" s="120">
        <v>5.035714285714286</v>
      </c>
      <c r="J303" s="120">
        <v>0.32142857142857145</v>
      </c>
      <c r="K303" s="120">
        <v>0</v>
      </c>
      <c r="L303" s="280" t="s">
        <v>21</v>
      </c>
    </row>
    <row r="304" spans="1:12" ht="15" customHeight="1">
      <c r="A304" s="45" t="s">
        <v>56</v>
      </c>
      <c r="B304" s="47"/>
      <c r="C304" s="7">
        <v>531</v>
      </c>
      <c r="D304" s="8">
        <f aca="true" t="shared" si="59" ref="D304:K304">SUM(D299:D303)</f>
        <v>13.644404761904761</v>
      </c>
      <c r="E304" s="8">
        <f t="shared" si="59"/>
        <v>26.846785714285716</v>
      </c>
      <c r="F304" s="8">
        <f t="shared" si="59"/>
        <v>66.0195238095238</v>
      </c>
      <c r="G304" s="206">
        <f t="shared" si="59"/>
        <v>542</v>
      </c>
      <c r="H304" s="8">
        <f t="shared" si="59"/>
        <v>129.51071428571427</v>
      </c>
      <c r="I304" s="8">
        <f t="shared" si="59"/>
        <v>73.60238095238095</v>
      </c>
      <c r="J304" s="8">
        <f t="shared" si="59"/>
        <v>3.5747619047619046</v>
      </c>
      <c r="K304" s="8">
        <f t="shared" si="59"/>
        <v>39.54416666666667</v>
      </c>
      <c r="L304" s="282"/>
    </row>
    <row r="305" spans="1:12" ht="19.5" customHeight="1">
      <c r="A305" s="55" t="s">
        <v>68</v>
      </c>
      <c r="B305" s="56"/>
      <c r="C305" s="7"/>
      <c r="D305" s="8">
        <f aca="true" t="shared" si="60" ref="D305:K305">SUM(D285,D288,D297,D304)</f>
        <v>50.5813537414966</v>
      </c>
      <c r="E305" s="8">
        <f t="shared" si="60"/>
        <v>60.79558163265307</v>
      </c>
      <c r="F305" s="8">
        <f t="shared" si="60"/>
        <v>223.75064965986397</v>
      </c>
      <c r="G305" s="206">
        <f t="shared" si="60"/>
        <v>1620.3</v>
      </c>
      <c r="H305" s="8">
        <f t="shared" si="60"/>
        <v>633.0153231292517</v>
      </c>
      <c r="I305" s="8">
        <f t="shared" si="60"/>
        <v>306.53151360544217</v>
      </c>
      <c r="J305" s="8">
        <f t="shared" si="60"/>
        <v>19.09524149659864</v>
      </c>
      <c r="K305" s="8">
        <f t="shared" si="60"/>
        <v>60.12116666666667</v>
      </c>
      <c r="L305" s="282"/>
    </row>
    <row r="306" spans="1:12" ht="15.75">
      <c r="A306" s="4"/>
      <c r="B306" s="428"/>
      <c r="C306" s="428"/>
      <c r="D306" s="428"/>
      <c r="E306" s="428"/>
      <c r="F306" s="428"/>
      <c r="G306" s="552"/>
      <c r="H306" s="428"/>
      <c r="I306" s="428"/>
      <c r="J306" s="428"/>
      <c r="K306" s="428"/>
      <c r="L306" s="277"/>
    </row>
    <row r="307" spans="1:12" ht="15.75" customHeight="1">
      <c r="A307" s="589" t="s">
        <v>4</v>
      </c>
      <c r="B307" s="590"/>
      <c r="C307" s="1"/>
      <c r="D307" s="5">
        <f aca="true" t="shared" si="61" ref="D307:K307">D41+D69+D100+D131+D160+D190+D219+D248+D277+D305</f>
        <v>626.2997292911194</v>
      </c>
      <c r="E307" s="5">
        <f t="shared" si="61"/>
        <v>578.4103064746612</v>
      </c>
      <c r="F307" s="5">
        <f t="shared" si="61"/>
        <v>2237.2785044211637</v>
      </c>
      <c r="G307" s="520">
        <f t="shared" si="61"/>
        <v>16199.9525</v>
      </c>
      <c r="H307" s="5">
        <f t="shared" si="61"/>
        <v>7189.69609477341</v>
      </c>
      <c r="I307" s="5">
        <f t="shared" si="61"/>
        <v>3042.169871342797</v>
      </c>
      <c r="J307" s="5">
        <f t="shared" si="61"/>
        <v>199.97499945056384</v>
      </c>
      <c r="K307" s="5">
        <f t="shared" si="61"/>
        <v>926.7023589743591</v>
      </c>
      <c r="L307" s="277"/>
    </row>
    <row r="308" spans="1:12" ht="15.75" customHeight="1">
      <c r="A308" s="589" t="s">
        <v>5</v>
      </c>
      <c r="B308" s="590"/>
      <c r="C308" s="1"/>
      <c r="D308" s="12">
        <f aca="true" t="shared" si="62" ref="D308:K308">D307/10</f>
        <v>62.62997292911194</v>
      </c>
      <c r="E308" s="12">
        <f t="shared" si="62"/>
        <v>57.84103064746612</v>
      </c>
      <c r="F308" s="12">
        <f t="shared" si="62"/>
        <v>223.72785044211636</v>
      </c>
      <c r="G308" s="520">
        <f>G307/10</f>
        <v>1619.99525</v>
      </c>
      <c r="H308" s="12">
        <f t="shared" si="62"/>
        <v>718.969609477341</v>
      </c>
      <c r="I308" s="12">
        <f t="shared" si="62"/>
        <v>304.2169871342797</v>
      </c>
      <c r="J308" s="12">
        <f t="shared" si="62"/>
        <v>19.997499945056383</v>
      </c>
      <c r="K308" s="12">
        <f t="shared" si="62"/>
        <v>92.6702358974359</v>
      </c>
      <c r="L308" s="277"/>
    </row>
    <row r="309" spans="1:12" ht="15.75" customHeight="1">
      <c r="A309" s="604" t="s">
        <v>30</v>
      </c>
      <c r="B309" s="605"/>
      <c r="C309" s="79"/>
      <c r="D309" s="559">
        <f>(D308*4)/G308*100-2.5</f>
        <v>12.964236189362147</v>
      </c>
      <c r="E309" s="559">
        <f>(E308*9)/G308*100</f>
        <v>32.13400013532108</v>
      </c>
      <c r="F309" s="559">
        <f>(F308*4)/G308*100</f>
        <v>55.241606527455275</v>
      </c>
      <c r="G309" s="558">
        <f>SUM(D309:F309)</f>
        <v>100.3398428521385</v>
      </c>
      <c r="H309" s="142"/>
      <c r="I309" s="142"/>
      <c r="J309" s="142"/>
      <c r="K309" s="142"/>
      <c r="L309" s="320"/>
    </row>
    <row r="310" spans="1:12" ht="17.25" customHeight="1">
      <c r="A310" s="600" t="s">
        <v>31</v>
      </c>
      <c r="B310" s="601"/>
      <c r="C310" s="79"/>
      <c r="D310" s="130" t="s">
        <v>32</v>
      </c>
      <c r="E310" s="130" t="s">
        <v>33</v>
      </c>
      <c r="F310" s="130" t="s">
        <v>34</v>
      </c>
      <c r="G310" s="477"/>
      <c r="H310" s="142"/>
      <c r="I310" s="142"/>
      <c r="J310" s="142"/>
      <c r="K310" s="142"/>
      <c r="L310" s="320"/>
    </row>
    <row r="311" spans="3:6" ht="15.75">
      <c r="C311" s="258"/>
      <c r="D311" s="131"/>
      <c r="E311" s="131"/>
      <c r="F311" s="132"/>
    </row>
    <row r="312" spans="2:8" ht="13.5" customHeight="1">
      <c r="B312" s="118" t="s">
        <v>119</v>
      </c>
      <c r="C312" s="259"/>
      <c r="D312" s="133"/>
      <c r="E312" s="133"/>
      <c r="F312" s="133"/>
      <c r="G312" s="554"/>
      <c r="H312" s="133"/>
    </row>
    <row r="313" spans="2:8" ht="15.75" customHeight="1">
      <c r="B313" s="17"/>
      <c r="C313" s="17"/>
      <c r="D313" s="133"/>
      <c r="E313" s="133"/>
      <c r="F313" s="133"/>
      <c r="G313" s="554"/>
      <c r="H313" s="133"/>
    </row>
    <row r="314" spans="2:8" ht="15.75">
      <c r="B314" s="249" t="s">
        <v>585</v>
      </c>
      <c r="C314" s="17"/>
      <c r="D314" s="133"/>
      <c r="E314" s="133"/>
      <c r="F314" s="133"/>
      <c r="G314" s="554"/>
      <c r="H314" s="133"/>
    </row>
    <row r="315" spans="3:11" ht="15.75">
      <c r="C315" s="14"/>
      <c r="D315" s="19"/>
      <c r="E315" s="19"/>
      <c r="F315" s="19"/>
      <c r="G315" s="555"/>
      <c r="H315" s="19"/>
      <c r="I315" s="19"/>
      <c r="J315" s="19"/>
      <c r="K315" s="19"/>
    </row>
    <row r="316" spans="3:11" ht="15.75">
      <c r="C316" s="14"/>
      <c r="D316" s="19"/>
      <c r="E316" s="19"/>
      <c r="F316" s="19"/>
      <c r="G316" s="555"/>
      <c r="H316" s="19"/>
      <c r="I316" s="19"/>
      <c r="J316" s="19"/>
      <c r="K316" s="19"/>
    </row>
  </sheetData>
  <sheetProtection/>
  <mergeCells count="35">
    <mergeCell ref="A310:B310"/>
    <mergeCell ref="B221:K221"/>
    <mergeCell ref="B278:K278"/>
    <mergeCell ref="G10:G11"/>
    <mergeCell ref="B101:K101"/>
    <mergeCell ref="B70:K70"/>
    <mergeCell ref="A309:B309"/>
    <mergeCell ref="B191:K191"/>
    <mergeCell ref="A307:B307"/>
    <mergeCell ref="B279:K279"/>
    <mergeCell ref="A10:A11"/>
    <mergeCell ref="H10:J10"/>
    <mergeCell ref="C10:C11"/>
    <mergeCell ref="B162:K162"/>
    <mergeCell ref="B12:L12"/>
    <mergeCell ref="B161:K161"/>
    <mergeCell ref="B71:K71"/>
    <mergeCell ref="B220:K220"/>
    <mergeCell ref="B102:K102"/>
    <mergeCell ref="B250:K250"/>
    <mergeCell ref="B132:K132"/>
    <mergeCell ref="B133:K133"/>
    <mergeCell ref="A308:B308"/>
    <mergeCell ref="B192:K192"/>
    <mergeCell ref="B249:K249"/>
    <mergeCell ref="K4:L4"/>
    <mergeCell ref="B7:L7"/>
    <mergeCell ref="B8:L8"/>
    <mergeCell ref="B9:L9"/>
    <mergeCell ref="D10:F10"/>
    <mergeCell ref="B43:K43"/>
    <mergeCell ref="L10:L11"/>
    <mergeCell ref="K10:K11"/>
    <mergeCell ref="B10:B11"/>
    <mergeCell ref="B42:K42"/>
  </mergeCells>
  <printOptions/>
  <pageMargins left="0.1968503937007874" right="0.1968503937007874" top="0.35433070866141736" bottom="0.35433070866141736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7">
      <selection activeCell="E42" sqref="E42"/>
    </sheetView>
  </sheetViews>
  <sheetFormatPr defaultColWidth="9.00390625" defaultRowHeight="12.75"/>
  <cols>
    <col min="1" max="1" width="13.625" style="0" customWidth="1"/>
    <col min="2" max="2" width="15.25390625" style="0" customWidth="1"/>
    <col min="3" max="3" width="10.25390625" style="0" customWidth="1"/>
    <col min="4" max="4" width="13.00390625" style="0" customWidth="1"/>
  </cols>
  <sheetData>
    <row r="2" spans="1:15" ht="14.25">
      <c r="A2" s="606" t="s">
        <v>395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</row>
    <row r="3" spans="1:15" ht="14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1:15" ht="14.25">
      <c r="A4" s="606" t="s">
        <v>396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</row>
    <row r="5" spans="1:15" ht="14.25">
      <c r="A5" s="607" t="s">
        <v>397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</row>
    <row r="6" spans="5:15" ht="14.25"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348"/>
    </row>
    <row r="7" spans="1:15" ht="12.75">
      <c r="A7" s="349" t="s">
        <v>107</v>
      </c>
      <c r="B7" s="615" t="s">
        <v>398</v>
      </c>
      <c r="C7" s="615"/>
      <c r="D7" s="615"/>
      <c r="E7" s="615" t="s">
        <v>399</v>
      </c>
      <c r="F7" s="615"/>
      <c r="G7" s="615"/>
      <c r="H7" s="615"/>
      <c r="I7" s="615"/>
      <c r="J7" s="615"/>
      <c r="K7" s="615"/>
      <c r="L7" s="615"/>
      <c r="M7" s="615"/>
      <c r="N7" s="615"/>
      <c r="O7" s="348"/>
    </row>
    <row r="8" spans="1:15" ht="12.75">
      <c r="A8" s="350" t="s">
        <v>400</v>
      </c>
      <c r="B8" s="351" t="s">
        <v>401</v>
      </c>
      <c r="C8" s="351" t="s">
        <v>402</v>
      </c>
      <c r="D8" s="351" t="s">
        <v>403</v>
      </c>
      <c r="E8" s="352">
        <v>1</v>
      </c>
      <c r="F8" s="352">
        <v>2</v>
      </c>
      <c r="G8" s="352">
        <v>3</v>
      </c>
      <c r="H8" s="352">
        <v>4</v>
      </c>
      <c r="I8" s="352">
        <v>5</v>
      </c>
      <c r="J8" s="352">
        <v>6</v>
      </c>
      <c r="K8" s="352">
        <v>7</v>
      </c>
      <c r="L8" s="352">
        <v>8</v>
      </c>
      <c r="M8" s="352">
        <v>9</v>
      </c>
      <c r="N8" s="352">
        <v>10</v>
      </c>
      <c r="O8" s="348"/>
    </row>
    <row r="9" spans="1:15" ht="14.25">
      <c r="A9" s="353" t="s">
        <v>404</v>
      </c>
      <c r="B9" s="152">
        <v>360</v>
      </c>
      <c r="C9" s="354">
        <f>B9*0.95</f>
        <v>342</v>
      </c>
      <c r="D9" s="354">
        <f>B9*1.05</f>
        <v>378</v>
      </c>
      <c r="E9" s="355">
        <f>сад!G18</f>
        <v>360.6</v>
      </c>
      <c r="F9" s="355">
        <f>сад!G49</f>
        <v>361.4</v>
      </c>
      <c r="G9" s="355">
        <f>сад!G77</f>
        <v>360.5333333333333</v>
      </c>
      <c r="H9" s="355">
        <f>сад!G108</f>
        <v>359</v>
      </c>
      <c r="I9" s="355">
        <f>сад!G139</f>
        <v>358</v>
      </c>
      <c r="J9" s="355">
        <f>сад!G167</f>
        <v>358.3</v>
      </c>
      <c r="K9" s="355">
        <f>сад!G198</f>
        <v>358.79999999999995</v>
      </c>
      <c r="L9" s="355">
        <f>сад!G227</f>
        <v>359</v>
      </c>
      <c r="M9" s="355">
        <f>сад!G256</f>
        <v>363.5</v>
      </c>
      <c r="N9" s="355">
        <f>сад!G285</f>
        <v>358.4</v>
      </c>
      <c r="O9" s="348"/>
    </row>
    <row r="10" spans="1:15" ht="14.25">
      <c r="A10" s="356" t="s">
        <v>405</v>
      </c>
      <c r="B10" s="152">
        <v>90</v>
      </c>
      <c r="C10" s="354">
        <f>B10*0.95</f>
        <v>85.5</v>
      </c>
      <c r="D10" s="354">
        <f>B10*1.05</f>
        <v>94.5</v>
      </c>
      <c r="E10" s="355">
        <f>сад!G21</f>
        <v>90</v>
      </c>
      <c r="F10" s="355">
        <f>сад!G52</f>
        <v>90.3</v>
      </c>
      <c r="G10" s="355">
        <f>сад!G80</f>
        <v>90</v>
      </c>
      <c r="H10" s="355">
        <f>сад!G111</f>
        <v>90</v>
      </c>
      <c r="I10" s="355">
        <f>сад!G142</f>
        <v>90</v>
      </c>
      <c r="J10" s="355">
        <f>сад!G170</f>
        <v>90</v>
      </c>
      <c r="K10" s="355">
        <f>сад!G201</f>
        <v>90</v>
      </c>
      <c r="L10" s="355">
        <f>сад!G230</f>
        <v>90</v>
      </c>
      <c r="M10" s="355">
        <f>сад!G259</f>
        <v>90</v>
      </c>
      <c r="N10" s="355">
        <f>сад!G288</f>
        <v>90</v>
      </c>
      <c r="O10" s="348"/>
    </row>
    <row r="11" spans="1:15" ht="14.25">
      <c r="A11" s="356" t="s">
        <v>108</v>
      </c>
      <c r="B11" s="152">
        <v>630</v>
      </c>
      <c r="C11" s="354">
        <f>B11*0.95</f>
        <v>598.5</v>
      </c>
      <c r="D11" s="354">
        <f>B11*1.05</f>
        <v>661.5</v>
      </c>
      <c r="E11" s="355">
        <f>сад!G31</f>
        <v>631.5</v>
      </c>
      <c r="F11" s="355">
        <f>сад!G60</f>
        <v>629.4</v>
      </c>
      <c r="G11" s="355">
        <f>сад!G91</f>
        <v>629.92</v>
      </c>
      <c r="H11" s="355">
        <f>сад!G120</f>
        <v>627.8</v>
      </c>
      <c r="I11" s="355">
        <f>сад!G152</f>
        <v>629.1</v>
      </c>
      <c r="J11" s="355">
        <f>сад!G179</f>
        <v>632.8125</v>
      </c>
      <c r="K11" s="355">
        <f>сад!G210</f>
        <v>646.2</v>
      </c>
      <c r="L11" s="355">
        <f>сад!G239</f>
        <v>613.5</v>
      </c>
      <c r="M11" s="355">
        <f>сад!G268</f>
        <v>629.9</v>
      </c>
      <c r="N11" s="355">
        <f>сад!G297</f>
        <v>629.9</v>
      </c>
      <c r="O11" s="348"/>
    </row>
    <row r="12" spans="1:15" ht="14.25">
      <c r="A12" s="356" t="s">
        <v>406</v>
      </c>
      <c r="B12" s="152">
        <v>540</v>
      </c>
      <c r="C12" s="354">
        <f>B12*0.95</f>
        <v>513</v>
      </c>
      <c r="D12" s="354">
        <f>B12*1.05</f>
        <v>567</v>
      </c>
      <c r="E12" s="355">
        <f>сад!G40</f>
        <v>537.9200000000001</v>
      </c>
      <c r="F12" s="355">
        <f>сад!G68</f>
        <v>538.4</v>
      </c>
      <c r="G12" s="355">
        <f>сад!G99</f>
        <v>539.5</v>
      </c>
      <c r="H12" s="355">
        <f>сад!G130</f>
        <v>542.9</v>
      </c>
      <c r="I12" s="355">
        <f>сад!G159</f>
        <v>543</v>
      </c>
      <c r="J12" s="355">
        <f>сад!G189</f>
        <v>539.1666666666667</v>
      </c>
      <c r="K12" s="355">
        <f>сад!G218</f>
        <v>525.1</v>
      </c>
      <c r="L12" s="355">
        <f>сад!G247</f>
        <v>557.6</v>
      </c>
      <c r="M12" s="355">
        <f>сад!G276</f>
        <v>536.5</v>
      </c>
      <c r="N12" s="355">
        <f>сад!G304</f>
        <v>542</v>
      </c>
      <c r="O12" s="348"/>
    </row>
    <row r="13" spans="1:15" ht="14.25">
      <c r="A13" s="357" t="s">
        <v>407</v>
      </c>
      <c r="B13" s="358">
        <f>SUM(B9:B12)</f>
        <v>1620</v>
      </c>
      <c r="C13" s="359"/>
      <c r="D13" s="359"/>
      <c r="E13" s="360">
        <f aca="true" t="shared" si="0" ref="E13:N13">SUM(E9:E12)</f>
        <v>1620.02</v>
      </c>
      <c r="F13" s="360">
        <f t="shared" si="0"/>
        <v>1619.5</v>
      </c>
      <c r="G13" s="360">
        <f t="shared" si="0"/>
        <v>1619.9533333333334</v>
      </c>
      <c r="H13" s="360">
        <f t="shared" si="0"/>
        <v>1619.6999999999998</v>
      </c>
      <c r="I13" s="360">
        <f t="shared" si="0"/>
        <v>1620.1</v>
      </c>
      <c r="J13" s="360">
        <f t="shared" si="0"/>
        <v>1620.2791666666667</v>
      </c>
      <c r="K13" s="360">
        <f t="shared" si="0"/>
        <v>1620.1</v>
      </c>
      <c r="L13" s="360">
        <f t="shared" si="0"/>
        <v>1620.1</v>
      </c>
      <c r="M13" s="360">
        <f t="shared" si="0"/>
        <v>1619.9</v>
      </c>
      <c r="N13" s="360">
        <f t="shared" si="0"/>
        <v>1620.3</v>
      </c>
      <c r="O13" s="348"/>
    </row>
    <row r="14" spans="1:15" ht="12.75">
      <c r="A14" s="613" t="s">
        <v>408</v>
      </c>
      <c r="B14" s="613"/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</row>
    <row r="15" spans="1:15" ht="12.75">
      <c r="A15" s="361" t="s">
        <v>409</v>
      </c>
      <c r="B15" s="362"/>
      <c r="C15" s="363"/>
      <c r="D15" s="363"/>
      <c r="E15" s="363"/>
      <c r="F15" s="363"/>
      <c r="G15" s="363"/>
      <c r="H15" s="363"/>
      <c r="I15" s="364"/>
      <c r="J15" s="361"/>
      <c r="K15" s="361"/>
      <c r="L15" s="362"/>
      <c r="M15" s="362"/>
      <c r="N15" s="365"/>
      <c r="O15" s="366"/>
    </row>
    <row r="16" spans="1:15" ht="12.75">
      <c r="A16" s="367" t="s">
        <v>410</v>
      </c>
      <c r="B16" s="368"/>
      <c r="C16" s="368"/>
      <c r="D16" s="368"/>
      <c r="E16" s="368"/>
      <c r="F16" s="369"/>
      <c r="G16" s="369"/>
      <c r="H16" s="369"/>
      <c r="I16" s="369"/>
      <c r="J16" s="369"/>
      <c r="K16" s="369"/>
      <c r="L16" s="369"/>
      <c r="M16" s="369"/>
      <c r="N16" s="369"/>
      <c r="O16" s="370"/>
    </row>
    <row r="17" spans="1:15" ht="12.75">
      <c r="A17" s="367"/>
      <c r="B17" s="368"/>
      <c r="C17" s="368"/>
      <c r="D17" s="368"/>
      <c r="E17" s="368"/>
      <c r="F17" s="369"/>
      <c r="G17" s="369"/>
      <c r="H17" s="369"/>
      <c r="I17" s="369"/>
      <c r="J17" s="369"/>
      <c r="K17" s="369"/>
      <c r="L17" s="369"/>
      <c r="M17" s="369"/>
      <c r="N17" s="369"/>
      <c r="O17" s="370"/>
    </row>
    <row r="18" spans="1:15" ht="14.25">
      <c r="A18" s="606" t="s">
        <v>411</v>
      </c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6"/>
      <c r="O18" s="606"/>
    </row>
    <row r="19" spans="1:15" ht="14.25">
      <c r="A19" s="607" t="s">
        <v>412</v>
      </c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</row>
    <row r="20" spans="1:15" ht="14.2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8"/>
    </row>
    <row r="21" spans="1:15" ht="12.75" customHeight="1">
      <c r="A21" s="349" t="s">
        <v>107</v>
      </c>
      <c r="B21" s="608" t="s">
        <v>413</v>
      </c>
      <c r="C21" s="610" t="s">
        <v>414</v>
      </c>
      <c r="D21" s="611"/>
      <c r="E21" s="612"/>
      <c r="F21" s="610" t="s">
        <v>399</v>
      </c>
      <c r="G21" s="611"/>
      <c r="H21" s="611"/>
      <c r="I21" s="611"/>
      <c r="J21" s="611"/>
      <c r="K21" s="611"/>
      <c r="L21" s="611"/>
      <c r="M21" s="611"/>
      <c r="N21" s="611"/>
      <c r="O21" s="612"/>
    </row>
    <row r="22" spans="1:15" ht="25.5">
      <c r="A22" s="350" t="s">
        <v>400</v>
      </c>
      <c r="B22" s="609"/>
      <c r="C22" s="371" t="s">
        <v>415</v>
      </c>
      <c r="D22" s="371" t="s">
        <v>416</v>
      </c>
      <c r="E22" s="371" t="s">
        <v>417</v>
      </c>
      <c r="F22" s="352">
        <v>1</v>
      </c>
      <c r="G22" s="352">
        <v>2</v>
      </c>
      <c r="H22" s="352">
        <v>3</v>
      </c>
      <c r="I22" s="352">
        <v>4</v>
      </c>
      <c r="J22" s="352">
        <v>5</v>
      </c>
      <c r="K22" s="352">
        <v>6</v>
      </c>
      <c r="L22" s="352">
        <v>7</v>
      </c>
      <c r="M22" s="352">
        <v>8</v>
      </c>
      <c r="N22" s="352">
        <v>9</v>
      </c>
      <c r="O22" s="352">
        <v>10</v>
      </c>
    </row>
    <row r="23" spans="1:15" ht="14.25">
      <c r="A23" s="353" t="s">
        <v>404</v>
      </c>
      <c r="B23" s="372">
        <v>360</v>
      </c>
      <c r="C23" s="354">
        <f>(F23+G23+H23+I23+J23)/5</f>
        <v>359.90666666666664</v>
      </c>
      <c r="D23" s="354">
        <f>(K23+L23+M23+N23+O23)/5</f>
        <v>359.6</v>
      </c>
      <c r="E23" s="373">
        <f>(F23+G23+H23+I23+J23+K23+L23+M23+N23+O23)/10</f>
        <v>359.75333333333333</v>
      </c>
      <c r="F23" s="355">
        <f aca="true" t="shared" si="1" ref="F23:O26">E9</f>
        <v>360.6</v>
      </c>
      <c r="G23" s="355">
        <f t="shared" si="1"/>
        <v>361.4</v>
      </c>
      <c r="H23" s="355">
        <f t="shared" si="1"/>
        <v>360.5333333333333</v>
      </c>
      <c r="I23" s="355">
        <f t="shared" si="1"/>
        <v>359</v>
      </c>
      <c r="J23" s="355">
        <f t="shared" si="1"/>
        <v>358</v>
      </c>
      <c r="K23" s="355">
        <f t="shared" si="1"/>
        <v>358.3</v>
      </c>
      <c r="L23" s="355">
        <f t="shared" si="1"/>
        <v>358.79999999999995</v>
      </c>
      <c r="M23" s="355">
        <f t="shared" si="1"/>
        <v>359</v>
      </c>
      <c r="N23" s="355">
        <f t="shared" si="1"/>
        <v>363.5</v>
      </c>
      <c r="O23" s="355">
        <f t="shared" si="1"/>
        <v>358.4</v>
      </c>
    </row>
    <row r="24" spans="1:15" ht="14.25">
      <c r="A24" s="356" t="s">
        <v>405</v>
      </c>
      <c r="B24" s="372">
        <v>90</v>
      </c>
      <c r="C24" s="373">
        <f>(F24+G24+H24+I24+J24)/5</f>
        <v>90.06</v>
      </c>
      <c r="D24" s="354">
        <f>(K24+L24+M24+N24+O24)/5</f>
        <v>90</v>
      </c>
      <c r="E24" s="373">
        <f>(F24+G24+H24+I24+J24+K24+L24+M24+N24+O24)/10</f>
        <v>90.03</v>
      </c>
      <c r="F24" s="355">
        <f t="shared" si="1"/>
        <v>90</v>
      </c>
      <c r="G24" s="355">
        <f t="shared" si="1"/>
        <v>90.3</v>
      </c>
      <c r="H24" s="355">
        <f t="shared" si="1"/>
        <v>90</v>
      </c>
      <c r="I24" s="355">
        <f t="shared" si="1"/>
        <v>90</v>
      </c>
      <c r="J24" s="355">
        <f t="shared" si="1"/>
        <v>90</v>
      </c>
      <c r="K24" s="355">
        <f t="shared" si="1"/>
        <v>90</v>
      </c>
      <c r="L24" s="355">
        <f t="shared" si="1"/>
        <v>90</v>
      </c>
      <c r="M24" s="355">
        <f t="shared" si="1"/>
        <v>90</v>
      </c>
      <c r="N24" s="355">
        <f t="shared" si="1"/>
        <v>90</v>
      </c>
      <c r="O24" s="355">
        <f t="shared" si="1"/>
        <v>90</v>
      </c>
    </row>
    <row r="25" spans="1:15" ht="14.25">
      <c r="A25" s="356" t="s">
        <v>108</v>
      </c>
      <c r="B25" s="372">
        <v>630</v>
      </c>
      <c r="C25" s="354">
        <f>(F25+G25+H25+I25+J25)/5</f>
        <v>629.544</v>
      </c>
      <c r="D25" s="354">
        <f>(K25+L25+M25+N25+O25)/5</f>
        <v>630.4625</v>
      </c>
      <c r="E25" s="373">
        <f>(F25+G25+H25+I25+J25+K25+L25+M25+N25+O25)/10</f>
        <v>630.00325</v>
      </c>
      <c r="F25" s="355">
        <f t="shared" si="1"/>
        <v>631.5</v>
      </c>
      <c r="G25" s="355">
        <f t="shared" si="1"/>
        <v>629.4</v>
      </c>
      <c r="H25" s="355">
        <f t="shared" si="1"/>
        <v>629.92</v>
      </c>
      <c r="I25" s="355">
        <f t="shared" si="1"/>
        <v>627.8</v>
      </c>
      <c r="J25" s="355">
        <f t="shared" si="1"/>
        <v>629.1</v>
      </c>
      <c r="K25" s="355">
        <f t="shared" si="1"/>
        <v>632.8125</v>
      </c>
      <c r="L25" s="374">
        <f t="shared" si="1"/>
        <v>646.2</v>
      </c>
      <c r="M25" s="355">
        <f t="shared" si="1"/>
        <v>613.5</v>
      </c>
      <c r="N25" s="355">
        <f t="shared" si="1"/>
        <v>629.9</v>
      </c>
      <c r="O25" s="355">
        <f t="shared" si="1"/>
        <v>629.9</v>
      </c>
    </row>
    <row r="26" spans="1:15" ht="14.25">
      <c r="A26" s="356" t="s">
        <v>406</v>
      </c>
      <c r="B26" s="372">
        <v>540</v>
      </c>
      <c r="C26" s="354">
        <f>(F26+G26+H26+I26+J26)/5</f>
        <v>540.344</v>
      </c>
      <c r="D26" s="354">
        <f>(K26+L26+M26+N26+O26)/5</f>
        <v>540.0733333333334</v>
      </c>
      <c r="E26" s="373">
        <f>(F26+G26+H26+I26+J26+K26+L26+M26+N26+O26)/10</f>
        <v>540.2086666666667</v>
      </c>
      <c r="F26" s="355">
        <f t="shared" si="1"/>
        <v>537.9200000000001</v>
      </c>
      <c r="G26" s="355">
        <f t="shared" si="1"/>
        <v>538.4</v>
      </c>
      <c r="H26" s="355">
        <f t="shared" si="1"/>
        <v>539.5</v>
      </c>
      <c r="I26" s="355">
        <f t="shared" si="1"/>
        <v>542.9</v>
      </c>
      <c r="J26" s="355">
        <f t="shared" si="1"/>
        <v>543</v>
      </c>
      <c r="K26" s="355">
        <f t="shared" si="1"/>
        <v>539.1666666666667</v>
      </c>
      <c r="L26" s="355">
        <f t="shared" si="1"/>
        <v>525.1</v>
      </c>
      <c r="M26" s="355">
        <f t="shared" si="1"/>
        <v>557.6</v>
      </c>
      <c r="N26" s="355">
        <f t="shared" si="1"/>
        <v>536.5</v>
      </c>
      <c r="O26" s="355">
        <f t="shared" si="1"/>
        <v>542</v>
      </c>
    </row>
    <row r="27" spans="1:15" ht="14.25">
      <c r="A27" s="357" t="s">
        <v>407</v>
      </c>
      <c r="B27" s="358">
        <f aca="true" t="shared" si="2" ref="B27:O27">SUM(B23:B26)</f>
        <v>1620</v>
      </c>
      <c r="C27" s="375">
        <f t="shared" si="2"/>
        <v>1619.8546666666666</v>
      </c>
      <c r="D27" s="375">
        <f t="shared" si="2"/>
        <v>1620.1358333333333</v>
      </c>
      <c r="E27" s="375">
        <f t="shared" si="2"/>
        <v>1619.99525</v>
      </c>
      <c r="F27" s="360">
        <f t="shared" si="2"/>
        <v>1620.02</v>
      </c>
      <c r="G27" s="360">
        <f t="shared" si="2"/>
        <v>1619.5</v>
      </c>
      <c r="H27" s="360">
        <f t="shared" si="2"/>
        <v>1619.9533333333334</v>
      </c>
      <c r="I27" s="360">
        <f t="shared" si="2"/>
        <v>1619.6999999999998</v>
      </c>
      <c r="J27" s="360">
        <f t="shared" si="2"/>
        <v>1620.1</v>
      </c>
      <c r="K27" s="360">
        <f t="shared" si="2"/>
        <v>1620.2791666666667</v>
      </c>
      <c r="L27" s="360">
        <f t="shared" si="2"/>
        <v>1620.1</v>
      </c>
      <c r="M27" s="360">
        <f t="shared" si="2"/>
        <v>1620.1</v>
      </c>
      <c r="N27" s="360">
        <f t="shared" si="2"/>
        <v>1619.9</v>
      </c>
      <c r="O27" s="360">
        <f t="shared" si="2"/>
        <v>1620.3</v>
      </c>
    </row>
    <row r="28" spans="5:15" ht="12.75"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48"/>
    </row>
    <row r="29" spans="1:15" ht="14.25">
      <c r="A29" s="606" t="s">
        <v>418</v>
      </c>
      <c r="B29" s="606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</row>
    <row r="30" spans="1:15" ht="14.25">
      <c r="A30" s="607" t="s">
        <v>419</v>
      </c>
      <c r="B30" s="607"/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07"/>
    </row>
    <row r="31" spans="5:15" ht="12.75"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48"/>
    </row>
    <row r="32" spans="5:15" ht="12.75"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48"/>
    </row>
    <row r="33" spans="1:15" ht="12.75" customHeight="1">
      <c r="A33" s="349" t="s">
        <v>107</v>
      </c>
      <c r="B33" s="608" t="s">
        <v>420</v>
      </c>
      <c r="C33" s="610" t="s">
        <v>414</v>
      </c>
      <c r="D33" s="611"/>
      <c r="E33" s="612"/>
      <c r="F33" s="610" t="s">
        <v>399</v>
      </c>
      <c r="G33" s="611"/>
      <c r="H33" s="611"/>
      <c r="I33" s="611"/>
      <c r="J33" s="611"/>
      <c r="K33" s="611"/>
      <c r="L33" s="611"/>
      <c r="M33" s="611"/>
      <c r="N33" s="611"/>
      <c r="O33" s="612"/>
    </row>
    <row r="34" spans="1:15" ht="25.5">
      <c r="A34" s="350" t="s">
        <v>400</v>
      </c>
      <c r="B34" s="609"/>
      <c r="C34" s="371" t="s">
        <v>415</v>
      </c>
      <c r="D34" s="371" t="s">
        <v>416</v>
      </c>
      <c r="E34" s="371" t="s">
        <v>417</v>
      </c>
      <c r="F34" s="352">
        <v>1</v>
      </c>
      <c r="G34" s="352">
        <v>2</v>
      </c>
      <c r="H34" s="352">
        <v>3</v>
      </c>
      <c r="I34" s="352">
        <v>4</v>
      </c>
      <c r="J34" s="352">
        <v>5</v>
      </c>
      <c r="K34" s="352">
        <v>6</v>
      </c>
      <c r="L34" s="352">
        <v>7</v>
      </c>
      <c r="M34" s="352">
        <v>8</v>
      </c>
      <c r="N34" s="352">
        <v>9</v>
      </c>
      <c r="O34" s="352">
        <v>10</v>
      </c>
    </row>
    <row r="35" spans="1:15" ht="14.25">
      <c r="A35" s="377" t="s">
        <v>421</v>
      </c>
      <c r="B35" s="372">
        <v>1620</v>
      </c>
      <c r="C35" s="373">
        <f aca="true" t="shared" si="3" ref="C35:O35">C27</f>
        <v>1619.8546666666666</v>
      </c>
      <c r="D35" s="373">
        <f t="shared" si="3"/>
        <v>1620.1358333333333</v>
      </c>
      <c r="E35" s="373">
        <f t="shared" si="3"/>
        <v>1619.99525</v>
      </c>
      <c r="F35" s="378">
        <f t="shared" si="3"/>
        <v>1620.02</v>
      </c>
      <c r="G35" s="378">
        <f t="shared" si="3"/>
        <v>1619.5</v>
      </c>
      <c r="H35" s="374">
        <f t="shared" si="3"/>
        <v>1619.9533333333334</v>
      </c>
      <c r="I35" s="374">
        <f t="shared" si="3"/>
        <v>1619.6999999999998</v>
      </c>
      <c r="J35" s="374">
        <f t="shared" si="3"/>
        <v>1620.1</v>
      </c>
      <c r="K35" s="374">
        <f t="shared" si="3"/>
        <v>1620.2791666666667</v>
      </c>
      <c r="L35" s="374">
        <f t="shared" si="3"/>
        <v>1620.1</v>
      </c>
      <c r="M35" s="374">
        <f t="shared" si="3"/>
        <v>1620.1</v>
      </c>
      <c r="N35" s="374">
        <f t="shared" si="3"/>
        <v>1619.9</v>
      </c>
      <c r="O35" s="374">
        <f t="shared" si="3"/>
        <v>1620.3</v>
      </c>
    </row>
    <row r="36" spans="5:15" ht="12.75"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48"/>
    </row>
    <row r="37" spans="5:15" ht="12.75"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48"/>
    </row>
    <row r="38" spans="5:15" ht="12.75"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48"/>
    </row>
    <row r="39" spans="5:15" ht="12.75"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48"/>
    </row>
    <row r="40" spans="5:15" ht="12.75"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48"/>
    </row>
    <row r="41" spans="5:15" ht="12.75"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48"/>
    </row>
    <row r="42" spans="5:15" ht="12.75"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48"/>
    </row>
  </sheetData>
  <sheetProtection/>
  <mergeCells count="17">
    <mergeCell ref="F21:O21"/>
    <mergeCell ref="A2:O2"/>
    <mergeCell ref="A4:O4"/>
    <mergeCell ref="A5:O5"/>
    <mergeCell ref="E6:N6"/>
    <mergeCell ref="B7:D7"/>
    <mergeCell ref="E7:N7"/>
    <mergeCell ref="A29:O29"/>
    <mergeCell ref="A30:O30"/>
    <mergeCell ref="B33:B34"/>
    <mergeCell ref="C33:E33"/>
    <mergeCell ref="F33:O33"/>
    <mergeCell ref="A14:O14"/>
    <mergeCell ref="A18:O18"/>
    <mergeCell ref="A19:O19"/>
    <mergeCell ref="B21:B22"/>
    <mergeCell ref="C21:E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4"/>
  <sheetViews>
    <sheetView tabSelected="1" zoomScale="87" zoomScaleNormal="87" zoomScalePageLayoutView="0" workbookViewId="0" topLeftCell="A1">
      <selection activeCell="R283" sqref="R283"/>
    </sheetView>
  </sheetViews>
  <sheetFormatPr defaultColWidth="9.00390625" defaultRowHeight="12.75"/>
  <cols>
    <col min="1" max="1" width="18.875" style="6" customWidth="1"/>
    <col min="2" max="2" width="57.875" style="15" customWidth="1"/>
    <col min="3" max="3" width="9.125" style="251" customWidth="1"/>
    <col min="4" max="5" width="9.00390625" style="134" customWidth="1"/>
    <col min="6" max="6" width="9.125" style="134" customWidth="1"/>
    <col min="7" max="7" width="9.75390625" style="251" customWidth="1"/>
    <col min="8" max="8" width="8.00390625" style="134" customWidth="1"/>
    <col min="9" max="9" width="7.375" style="134" customWidth="1"/>
    <col min="10" max="10" width="7.625" style="134" customWidth="1"/>
    <col min="11" max="11" width="9.00390625" style="134" customWidth="1"/>
    <col min="12" max="12" width="25.625" style="321" customWidth="1"/>
  </cols>
  <sheetData>
    <row r="1" spans="2:13" s="6" customFormat="1" ht="15.75">
      <c r="B1" s="218"/>
      <c r="C1" s="256"/>
      <c r="D1" s="125"/>
      <c r="E1" s="125"/>
      <c r="F1" s="125"/>
      <c r="G1" s="517"/>
      <c r="H1" s="135"/>
      <c r="I1" s="135"/>
      <c r="J1" s="135"/>
      <c r="K1" s="136" t="s">
        <v>584</v>
      </c>
      <c r="L1" s="20"/>
      <c r="M1" s="203"/>
    </row>
    <row r="2" spans="2:13" s="6" customFormat="1" ht="15.75">
      <c r="B2" s="218"/>
      <c r="C2" s="256"/>
      <c r="D2" s="125"/>
      <c r="E2" s="125"/>
      <c r="F2" s="125"/>
      <c r="G2" s="517"/>
      <c r="H2" s="135"/>
      <c r="I2" s="135"/>
      <c r="J2" s="135"/>
      <c r="K2" s="137"/>
      <c r="L2" s="20"/>
      <c r="M2" s="203"/>
    </row>
    <row r="3" spans="2:13" s="6" customFormat="1" ht="18" customHeight="1">
      <c r="B3" s="218"/>
      <c r="C3" s="256"/>
      <c r="D3" s="125"/>
      <c r="E3" s="125"/>
      <c r="F3" s="125"/>
      <c r="G3" s="517"/>
      <c r="H3" s="135"/>
      <c r="I3" s="135"/>
      <c r="J3" s="135"/>
      <c r="K3" s="138" t="s">
        <v>42</v>
      </c>
      <c r="L3" s="20"/>
      <c r="M3" s="203"/>
    </row>
    <row r="4" spans="2:13" s="6" customFormat="1" ht="15.75" customHeight="1">
      <c r="B4" s="218"/>
      <c r="C4" s="256"/>
      <c r="D4" s="125"/>
      <c r="E4" s="125"/>
      <c r="F4" s="125"/>
      <c r="G4" s="517"/>
      <c r="H4" s="135"/>
      <c r="I4" s="135"/>
      <c r="J4" s="135"/>
      <c r="K4" s="570" t="s">
        <v>582</v>
      </c>
      <c r="L4" s="570"/>
      <c r="M4" s="203"/>
    </row>
    <row r="5" spans="2:13" s="6" customFormat="1" ht="15.75">
      <c r="B5" s="218"/>
      <c r="C5" s="256"/>
      <c r="D5" s="125"/>
      <c r="E5" s="125"/>
      <c r="F5" s="125"/>
      <c r="G5" s="518"/>
      <c r="H5" s="139"/>
      <c r="I5" s="139"/>
      <c r="J5" s="139"/>
      <c r="K5" s="140" t="s">
        <v>583</v>
      </c>
      <c r="L5" s="21"/>
      <c r="M5" s="203"/>
    </row>
    <row r="6" spans="2:12" ht="15.75">
      <c r="B6" s="218"/>
      <c r="C6" s="394"/>
      <c r="D6" s="125"/>
      <c r="E6" s="125"/>
      <c r="F6" s="125"/>
      <c r="G6" s="488"/>
      <c r="H6" s="139"/>
      <c r="I6" s="139"/>
      <c r="J6" s="139"/>
      <c r="K6" s="140"/>
      <c r="L6" s="21"/>
    </row>
    <row r="7" spans="1:12" ht="15">
      <c r="A7" s="571" t="s">
        <v>43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</row>
    <row r="8" spans="1:12" ht="15" customHeight="1">
      <c r="A8" s="572" t="s">
        <v>120</v>
      </c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</row>
    <row r="9" spans="1:12" ht="15" customHeight="1">
      <c r="A9" s="624" t="s">
        <v>499</v>
      </c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</row>
    <row r="10" spans="1:12" ht="12.75">
      <c r="A10" s="616" t="s">
        <v>45</v>
      </c>
      <c r="B10" s="618" t="s">
        <v>2</v>
      </c>
      <c r="C10" s="620" t="s">
        <v>24</v>
      </c>
      <c r="D10" s="622" t="s">
        <v>0</v>
      </c>
      <c r="E10" s="622"/>
      <c r="F10" s="622"/>
      <c r="G10" s="620" t="s">
        <v>46</v>
      </c>
      <c r="H10" s="623" t="s">
        <v>47</v>
      </c>
      <c r="I10" s="623"/>
      <c r="J10" s="623"/>
      <c r="K10" s="627" t="s">
        <v>48</v>
      </c>
      <c r="L10" s="625" t="s">
        <v>49</v>
      </c>
    </row>
    <row r="11" spans="1:12" ht="24" customHeight="1">
      <c r="A11" s="617"/>
      <c r="B11" s="619"/>
      <c r="C11" s="621"/>
      <c r="D11" s="560" t="s">
        <v>25</v>
      </c>
      <c r="E11" s="560" t="s">
        <v>26</v>
      </c>
      <c r="F11" s="560" t="s">
        <v>50</v>
      </c>
      <c r="G11" s="621"/>
      <c r="H11" s="561" t="s">
        <v>51</v>
      </c>
      <c r="I11" s="561" t="s">
        <v>20</v>
      </c>
      <c r="J11" s="561" t="s">
        <v>19</v>
      </c>
      <c r="K11" s="628"/>
      <c r="L11" s="626"/>
    </row>
    <row r="12" spans="1:12" ht="15.75">
      <c r="A12" s="4"/>
      <c r="B12" s="596" t="s">
        <v>28</v>
      </c>
      <c r="C12" s="597"/>
      <c r="D12" s="597"/>
      <c r="E12" s="597"/>
      <c r="F12" s="597"/>
      <c r="G12" s="597"/>
      <c r="H12" s="597"/>
      <c r="I12" s="597"/>
      <c r="J12" s="597"/>
      <c r="K12" s="597"/>
      <c r="L12" s="598"/>
    </row>
    <row r="13" spans="1:12" ht="15.75">
      <c r="A13" s="40" t="s">
        <v>52</v>
      </c>
      <c r="B13" s="41"/>
      <c r="C13" s="121"/>
      <c r="D13" s="5"/>
      <c r="E13" s="5"/>
      <c r="F13" s="5"/>
      <c r="G13" s="339"/>
      <c r="H13" s="5"/>
      <c r="I13" s="5"/>
      <c r="J13" s="5"/>
      <c r="K13" s="5"/>
      <c r="L13" s="277"/>
    </row>
    <row r="14" spans="1:12" ht="15.75">
      <c r="A14" s="58"/>
      <c r="B14" s="66" t="s">
        <v>121</v>
      </c>
      <c r="C14" s="121">
        <v>5</v>
      </c>
      <c r="D14" s="5">
        <v>0.04</v>
      </c>
      <c r="E14" s="5">
        <v>1.5</v>
      </c>
      <c r="F14" s="5">
        <v>0.07</v>
      </c>
      <c r="G14" s="121">
        <v>33</v>
      </c>
      <c r="H14" s="5">
        <v>0</v>
      </c>
      <c r="I14" s="5">
        <v>0</v>
      </c>
      <c r="J14" s="5">
        <v>0</v>
      </c>
      <c r="K14" s="5">
        <v>0</v>
      </c>
      <c r="L14" s="277" t="s">
        <v>122</v>
      </c>
    </row>
    <row r="15" spans="1:12" ht="15.75">
      <c r="A15" s="58"/>
      <c r="B15" s="219" t="s">
        <v>123</v>
      </c>
      <c r="C15" s="395">
        <v>150</v>
      </c>
      <c r="D15" s="120">
        <v>4.4430000000000005</v>
      </c>
      <c r="E15" s="120">
        <v>0.7</v>
      </c>
      <c r="F15" s="120">
        <v>13.5</v>
      </c>
      <c r="G15" s="395">
        <v>112</v>
      </c>
      <c r="H15" s="120">
        <v>124.2</v>
      </c>
      <c r="I15" s="120">
        <v>27.2</v>
      </c>
      <c r="J15" s="120">
        <v>0.5</v>
      </c>
      <c r="K15" s="120">
        <v>0.6</v>
      </c>
      <c r="L15" s="278" t="s">
        <v>124</v>
      </c>
    </row>
    <row r="16" spans="1:12" ht="15.75">
      <c r="A16" s="44"/>
      <c r="B16" s="220" t="s">
        <v>125</v>
      </c>
      <c r="C16" s="85">
        <v>180</v>
      </c>
      <c r="D16" s="22">
        <v>2.85</v>
      </c>
      <c r="E16" s="22">
        <v>2.41</v>
      </c>
      <c r="F16" s="22">
        <v>9</v>
      </c>
      <c r="G16" s="401">
        <v>69</v>
      </c>
      <c r="H16" s="22">
        <v>113.2</v>
      </c>
      <c r="I16" s="22">
        <v>12.6</v>
      </c>
      <c r="J16" s="22">
        <v>0.12</v>
      </c>
      <c r="K16" s="22">
        <v>1.17</v>
      </c>
      <c r="L16" s="279" t="s">
        <v>458</v>
      </c>
    </row>
    <row r="17" spans="1:12" ht="15.75">
      <c r="A17" s="45"/>
      <c r="B17" s="46" t="s">
        <v>36</v>
      </c>
      <c r="C17" s="28">
        <v>25</v>
      </c>
      <c r="D17" s="22">
        <v>1.9</v>
      </c>
      <c r="E17" s="22">
        <v>0.8</v>
      </c>
      <c r="F17" s="22">
        <v>12.8</v>
      </c>
      <c r="G17" s="401">
        <v>66</v>
      </c>
      <c r="H17" s="22">
        <v>8.8</v>
      </c>
      <c r="I17" s="22">
        <v>11.8</v>
      </c>
      <c r="J17" s="22">
        <v>1</v>
      </c>
      <c r="K17" s="22">
        <v>0</v>
      </c>
      <c r="L17" s="280" t="s">
        <v>7</v>
      </c>
    </row>
    <row r="18" spans="1:12" ht="15.75">
      <c r="A18" s="45" t="s">
        <v>23</v>
      </c>
      <c r="B18" s="47"/>
      <c r="C18" s="9">
        <f>SUM(C14:C17)</f>
        <v>360</v>
      </c>
      <c r="D18" s="8">
        <f aca="true" t="shared" si="0" ref="D18:K18">SUM(D14:D17)</f>
        <v>9.233</v>
      </c>
      <c r="E18" s="8">
        <f t="shared" si="0"/>
        <v>5.41</v>
      </c>
      <c r="F18" s="8">
        <f t="shared" si="0"/>
        <v>35.370000000000005</v>
      </c>
      <c r="G18" s="9">
        <f t="shared" si="0"/>
        <v>280</v>
      </c>
      <c r="H18" s="8">
        <f t="shared" si="0"/>
        <v>246.20000000000002</v>
      </c>
      <c r="I18" s="8">
        <f t="shared" si="0"/>
        <v>51.599999999999994</v>
      </c>
      <c r="J18" s="8">
        <f t="shared" si="0"/>
        <v>1.62</v>
      </c>
      <c r="K18" s="8">
        <f t="shared" si="0"/>
        <v>1.77</v>
      </c>
      <c r="L18" s="281"/>
    </row>
    <row r="19" spans="1:12" ht="15.75">
      <c r="A19" s="45"/>
      <c r="B19" s="47"/>
      <c r="C19" s="124"/>
      <c r="D19" s="340"/>
      <c r="E19" s="340"/>
      <c r="F19" s="340"/>
      <c r="G19" s="124"/>
      <c r="H19" s="340"/>
      <c r="I19" s="340"/>
      <c r="J19" s="340"/>
      <c r="K19" s="340"/>
      <c r="L19" s="281"/>
    </row>
    <row r="20" spans="1:12" ht="15.75">
      <c r="A20" s="45" t="s">
        <v>53</v>
      </c>
      <c r="B20" s="42"/>
      <c r="C20" s="339"/>
      <c r="D20" s="5"/>
      <c r="E20" s="5"/>
      <c r="F20" s="5"/>
      <c r="G20" s="339"/>
      <c r="H20" s="5"/>
      <c r="I20" s="5"/>
      <c r="J20" s="5"/>
      <c r="K20" s="5"/>
      <c r="L20" s="277"/>
    </row>
    <row r="21" spans="1:12" ht="15.75">
      <c r="A21" s="45"/>
      <c r="B21" s="383" t="s">
        <v>78</v>
      </c>
      <c r="C21" s="122">
        <v>150</v>
      </c>
      <c r="D21" s="10">
        <v>0.75</v>
      </c>
      <c r="E21" s="10">
        <v>0</v>
      </c>
      <c r="F21" s="10">
        <v>15.1875</v>
      </c>
      <c r="G21" s="124">
        <v>68</v>
      </c>
      <c r="H21" s="10">
        <v>10.499999999999998</v>
      </c>
      <c r="I21" s="10">
        <v>6</v>
      </c>
      <c r="J21" s="10">
        <v>2.0625000000000004</v>
      </c>
      <c r="K21" s="10">
        <v>3</v>
      </c>
      <c r="L21" s="281" t="s">
        <v>13</v>
      </c>
    </row>
    <row r="22" spans="1:12" ht="15.75">
      <c r="A22" s="48"/>
      <c r="B22" s="46"/>
      <c r="C22" s="250">
        <f>SUM(C21)</f>
        <v>150</v>
      </c>
      <c r="D22" s="206">
        <f>SUM(D20:D21)</f>
        <v>0.75</v>
      </c>
      <c r="E22" s="206">
        <f aca="true" t="shared" si="1" ref="E22:K22">SUM(E20:E21)</f>
        <v>0</v>
      </c>
      <c r="F22" s="206">
        <f t="shared" si="1"/>
        <v>15.1875</v>
      </c>
      <c r="G22" s="9">
        <f t="shared" si="1"/>
        <v>68</v>
      </c>
      <c r="H22" s="206">
        <f t="shared" si="1"/>
        <v>10.499999999999998</v>
      </c>
      <c r="I22" s="206">
        <f t="shared" si="1"/>
        <v>6</v>
      </c>
      <c r="J22" s="206">
        <f t="shared" si="1"/>
        <v>2.0625000000000004</v>
      </c>
      <c r="K22" s="206">
        <f t="shared" si="1"/>
        <v>3</v>
      </c>
      <c r="L22" s="281"/>
    </row>
    <row r="23" spans="1:12" ht="15.75">
      <c r="A23" s="40" t="s">
        <v>54</v>
      </c>
      <c r="B23" s="41"/>
      <c r="C23" s="121"/>
      <c r="D23" s="5"/>
      <c r="E23" s="5"/>
      <c r="F23" s="5"/>
      <c r="G23" s="339"/>
      <c r="H23" s="5"/>
      <c r="I23" s="5"/>
      <c r="J23" s="5"/>
      <c r="K23" s="5"/>
      <c r="L23" s="282"/>
    </row>
    <row r="24" spans="1:12" ht="15.75">
      <c r="A24" s="43"/>
      <c r="B24" s="221" t="s">
        <v>564</v>
      </c>
      <c r="C24" s="442" t="s">
        <v>535</v>
      </c>
      <c r="D24" s="39">
        <v>0.42000000000000004</v>
      </c>
      <c r="E24" s="39">
        <v>1.5</v>
      </c>
      <c r="F24" s="39">
        <v>1.8</v>
      </c>
      <c r="G24" s="74">
        <v>26</v>
      </c>
      <c r="H24" s="39">
        <v>11.22</v>
      </c>
      <c r="I24" s="39">
        <v>4.56</v>
      </c>
      <c r="J24" s="39">
        <v>0.18000000000000005</v>
      </c>
      <c r="K24" s="26">
        <v>9.720000000000002</v>
      </c>
      <c r="L24" s="283" t="s">
        <v>487</v>
      </c>
    </row>
    <row r="25" spans="1:12" ht="15.75">
      <c r="A25" s="44"/>
      <c r="B25" s="222" t="s">
        <v>567</v>
      </c>
      <c r="C25" s="487" t="s">
        <v>562</v>
      </c>
      <c r="D25" s="68">
        <v>1.56</v>
      </c>
      <c r="E25" s="68">
        <v>3.72</v>
      </c>
      <c r="F25" s="68">
        <v>12</v>
      </c>
      <c r="G25" s="465">
        <v>89</v>
      </c>
      <c r="H25" s="146">
        <v>19.044</v>
      </c>
      <c r="I25" s="146">
        <v>18.648</v>
      </c>
      <c r="J25" s="146">
        <v>0.696</v>
      </c>
      <c r="K25" s="68">
        <v>5.4</v>
      </c>
      <c r="L25" s="284" t="s">
        <v>127</v>
      </c>
    </row>
    <row r="26" spans="1:12" ht="15.75">
      <c r="A26" s="45"/>
      <c r="B26" s="49" t="s">
        <v>435</v>
      </c>
      <c r="C26" s="123">
        <v>60</v>
      </c>
      <c r="D26" s="127">
        <v>9.9</v>
      </c>
      <c r="E26" s="127">
        <v>3.7</v>
      </c>
      <c r="F26" s="127">
        <v>9.2</v>
      </c>
      <c r="G26" s="123">
        <v>137</v>
      </c>
      <c r="H26" s="127">
        <v>22.4</v>
      </c>
      <c r="I26" s="127">
        <v>12.9</v>
      </c>
      <c r="J26" s="127">
        <v>0.9</v>
      </c>
      <c r="K26" s="127">
        <v>1.1</v>
      </c>
      <c r="L26" s="277" t="s">
        <v>128</v>
      </c>
    </row>
    <row r="27" spans="1:12" ht="15.75">
      <c r="A27" s="45"/>
      <c r="B27" s="217" t="s">
        <v>35</v>
      </c>
      <c r="C27" s="396">
        <v>110</v>
      </c>
      <c r="D27" s="144">
        <v>4</v>
      </c>
      <c r="E27" s="144">
        <v>3.3</v>
      </c>
      <c r="F27" s="144">
        <v>19.4</v>
      </c>
      <c r="G27" s="489">
        <v>124</v>
      </c>
      <c r="H27" s="144">
        <v>3.6</v>
      </c>
      <c r="I27" s="144">
        <v>15.5</v>
      </c>
      <c r="J27" s="144">
        <v>0.8</v>
      </c>
      <c r="K27" s="144">
        <v>0</v>
      </c>
      <c r="L27" s="286" t="s">
        <v>131</v>
      </c>
    </row>
    <row r="28" spans="1:12" ht="15.75">
      <c r="A28" s="45"/>
      <c r="B28" s="42" t="s">
        <v>129</v>
      </c>
      <c r="C28" s="123">
        <v>15</v>
      </c>
      <c r="D28" s="127">
        <v>0.18</v>
      </c>
      <c r="E28" s="127">
        <v>0.6399999999999999</v>
      </c>
      <c r="F28" s="127">
        <v>1.2</v>
      </c>
      <c r="G28" s="123">
        <v>11</v>
      </c>
      <c r="H28" s="127">
        <v>2.4</v>
      </c>
      <c r="I28" s="127">
        <v>1.725</v>
      </c>
      <c r="J28" s="127">
        <v>0.075</v>
      </c>
      <c r="K28" s="127">
        <v>0.375</v>
      </c>
      <c r="L28" s="277" t="s">
        <v>130</v>
      </c>
    </row>
    <row r="29" spans="1:12" ht="15.75">
      <c r="A29" s="45"/>
      <c r="B29" s="223" t="s">
        <v>542</v>
      </c>
      <c r="C29" s="85">
        <v>150</v>
      </c>
      <c r="D29" s="22">
        <v>0.1</v>
      </c>
      <c r="E29" s="22">
        <v>0.1</v>
      </c>
      <c r="F29" s="22">
        <v>10.6</v>
      </c>
      <c r="G29" s="401">
        <v>41</v>
      </c>
      <c r="H29" s="22">
        <v>0.6</v>
      </c>
      <c r="I29" s="22">
        <v>11.9</v>
      </c>
      <c r="J29" s="22">
        <v>3.6</v>
      </c>
      <c r="K29" s="22">
        <v>0.7</v>
      </c>
      <c r="L29" s="279" t="s">
        <v>457</v>
      </c>
    </row>
    <row r="30" spans="1:12" ht="15.75">
      <c r="A30" s="50"/>
      <c r="B30" s="192" t="s">
        <v>37</v>
      </c>
      <c r="C30" s="28">
        <v>18</v>
      </c>
      <c r="D30" s="22">
        <v>1.4</v>
      </c>
      <c r="E30" s="22">
        <v>0.2</v>
      </c>
      <c r="F30" s="22">
        <v>8.9</v>
      </c>
      <c r="G30" s="401">
        <v>43</v>
      </c>
      <c r="H30" s="22">
        <v>4.2</v>
      </c>
      <c r="I30" s="22">
        <v>6</v>
      </c>
      <c r="J30" s="22">
        <v>0.4</v>
      </c>
      <c r="K30" s="22">
        <v>0</v>
      </c>
      <c r="L30" s="280" t="s">
        <v>132</v>
      </c>
    </row>
    <row r="31" spans="1:12" ht="15.75">
      <c r="A31" s="50"/>
      <c r="B31" s="192" t="s">
        <v>38</v>
      </c>
      <c r="C31" s="386">
        <v>13</v>
      </c>
      <c r="D31" s="93">
        <v>0.9533333333333334</v>
      </c>
      <c r="E31" s="93">
        <v>0.17333333333333334</v>
      </c>
      <c r="F31" s="93">
        <v>5.373333333333334</v>
      </c>
      <c r="G31" s="490">
        <v>27.1</v>
      </c>
      <c r="H31" s="93">
        <v>4.593333333333333</v>
      </c>
      <c r="I31" s="93">
        <v>6.153333333333333</v>
      </c>
      <c r="J31" s="93">
        <v>0.52</v>
      </c>
      <c r="K31" s="93">
        <v>0</v>
      </c>
      <c r="L31" s="280" t="s">
        <v>132</v>
      </c>
    </row>
    <row r="32" spans="1:12" ht="15.75">
      <c r="A32" s="45" t="s">
        <v>27</v>
      </c>
      <c r="B32" s="51"/>
      <c r="C32" s="9">
        <v>578</v>
      </c>
      <c r="D32" s="8">
        <f aca="true" t="shared" si="2" ref="D32:K32">SUM(D24:D31)</f>
        <v>18.513333333333335</v>
      </c>
      <c r="E32" s="8">
        <f t="shared" si="2"/>
        <v>13.333333333333336</v>
      </c>
      <c r="F32" s="8">
        <f t="shared" si="2"/>
        <v>68.47333333333333</v>
      </c>
      <c r="G32" s="9">
        <f t="shared" si="2"/>
        <v>498.1</v>
      </c>
      <c r="H32" s="8">
        <f t="shared" si="2"/>
        <v>68.05733333333333</v>
      </c>
      <c r="I32" s="8">
        <f t="shared" si="2"/>
        <v>77.38633333333334</v>
      </c>
      <c r="J32" s="8">
        <f t="shared" si="2"/>
        <v>7.171000000000001</v>
      </c>
      <c r="K32" s="8">
        <f t="shared" si="2"/>
        <v>17.295</v>
      </c>
      <c r="L32" s="282"/>
    </row>
    <row r="33" spans="1:12" ht="15.75">
      <c r="A33" s="45" t="s">
        <v>55</v>
      </c>
      <c r="B33" s="53"/>
      <c r="C33" s="124"/>
      <c r="D33" s="3"/>
      <c r="E33" s="3"/>
      <c r="F33" s="3"/>
      <c r="G33" s="491"/>
      <c r="H33" s="3"/>
      <c r="I33" s="3"/>
      <c r="J33" s="3"/>
      <c r="K33" s="3"/>
      <c r="L33" s="282"/>
    </row>
    <row r="34" spans="1:12" ht="15.75">
      <c r="A34" s="54"/>
      <c r="B34" s="221" t="s">
        <v>501</v>
      </c>
      <c r="C34" s="448" t="s">
        <v>568</v>
      </c>
      <c r="D34" s="39">
        <v>0.33333333333333337</v>
      </c>
      <c r="E34" s="39">
        <v>3</v>
      </c>
      <c r="F34" s="39">
        <v>1.1666666666666665</v>
      </c>
      <c r="G34" s="74">
        <v>34.4</v>
      </c>
      <c r="H34" s="24">
        <v>11.000000000000002</v>
      </c>
      <c r="I34" s="24">
        <v>6.666666666666665</v>
      </c>
      <c r="J34" s="24">
        <v>0.33333333333333337</v>
      </c>
      <c r="K34" s="39">
        <v>4.833333333333334</v>
      </c>
      <c r="L34" s="287" t="s">
        <v>135</v>
      </c>
    </row>
    <row r="35" spans="1:12" ht="15.75">
      <c r="A35" s="54"/>
      <c r="B35" s="223" t="s">
        <v>136</v>
      </c>
      <c r="C35" s="440">
        <v>60</v>
      </c>
      <c r="D35" s="86">
        <v>10.385</v>
      </c>
      <c r="E35" s="86">
        <v>5.993</v>
      </c>
      <c r="F35" s="86">
        <v>2.912</v>
      </c>
      <c r="G35" s="492">
        <v>107.4</v>
      </c>
      <c r="H35" s="86">
        <v>19</v>
      </c>
      <c r="I35" s="86">
        <v>17.8</v>
      </c>
      <c r="J35" s="86">
        <v>0.5</v>
      </c>
      <c r="K35" s="86">
        <v>0.366</v>
      </c>
      <c r="L35" s="288" t="s">
        <v>137</v>
      </c>
    </row>
    <row r="36" spans="1:12" ht="15.75">
      <c r="A36" s="54"/>
      <c r="B36" s="60" t="s">
        <v>570</v>
      </c>
      <c r="C36" s="440" t="s">
        <v>541</v>
      </c>
      <c r="D36" s="36">
        <v>2.16</v>
      </c>
      <c r="E36" s="36">
        <v>4.865454545454546</v>
      </c>
      <c r="F36" s="36">
        <v>12.676363636363636</v>
      </c>
      <c r="G36" s="493">
        <v>103.4</v>
      </c>
      <c r="H36" s="36">
        <v>35.79272727272728</v>
      </c>
      <c r="I36" s="36">
        <v>25.30909090909091</v>
      </c>
      <c r="J36" s="36">
        <v>1.0036363636363637</v>
      </c>
      <c r="K36" s="36">
        <v>10.276363636363637</v>
      </c>
      <c r="L36" s="289" t="s">
        <v>134</v>
      </c>
    </row>
    <row r="37" spans="1:12" ht="15.75">
      <c r="A37" s="50"/>
      <c r="B37" s="224" t="s">
        <v>82</v>
      </c>
      <c r="C37" s="88">
        <v>180</v>
      </c>
      <c r="D37" s="70">
        <v>0.2</v>
      </c>
      <c r="E37" s="70">
        <v>0.1</v>
      </c>
      <c r="F37" s="70">
        <v>9.4</v>
      </c>
      <c r="G37" s="494">
        <v>42.4</v>
      </c>
      <c r="H37" s="70">
        <v>3.7</v>
      </c>
      <c r="I37" s="70">
        <v>1.1</v>
      </c>
      <c r="J37" s="70">
        <v>0.2</v>
      </c>
      <c r="K37" s="70">
        <v>45.1</v>
      </c>
      <c r="L37" s="290" t="s">
        <v>83</v>
      </c>
    </row>
    <row r="38" spans="1:12" ht="15.75">
      <c r="A38" s="50"/>
      <c r="B38" s="220" t="s">
        <v>111</v>
      </c>
      <c r="C38" s="85">
        <v>110</v>
      </c>
      <c r="D38" s="22">
        <v>3</v>
      </c>
      <c r="E38" s="22">
        <v>0</v>
      </c>
      <c r="F38" s="22">
        <v>13</v>
      </c>
      <c r="G38" s="495">
        <v>90.4</v>
      </c>
      <c r="H38" s="22">
        <v>130</v>
      </c>
      <c r="I38" s="22">
        <v>14.3</v>
      </c>
      <c r="J38" s="22">
        <v>0.11</v>
      </c>
      <c r="K38" s="22">
        <v>0.7</v>
      </c>
      <c r="L38" s="279" t="s">
        <v>3</v>
      </c>
    </row>
    <row r="39" spans="1:12" ht="15.75">
      <c r="A39" s="50"/>
      <c r="B39" s="192" t="s">
        <v>38</v>
      </c>
      <c r="C39" s="85">
        <v>17</v>
      </c>
      <c r="D39" s="22">
        <v>1.2466666666666668</v>
      </c>
      <c r="E39" s="22">
        <v>0.22666666666666668</v>
      </c>
      <c r="F39" s="22">
        <v>7.026666666666667</v>
      </c>
      <c r="G39" s="401">
        <v>35.4</v>
      </c>
      <c r="H39" s="22">
        <v>6.006666666666666</v>
      </c>
      <c r="I39" s="22">
        <v>8.046666666666665</v>
      </c>
      <c r="J39" s="22">
        <v>0.6799999999999999</v>
      </c>
      <c r="K39" s="22">
        <v>0</v>
      </c>
      <c r="L39" s="280" t="s">
        <v>132</v>
      </c>
    </row>
    <row r="40" spans="1:12" ht="15.75">
      <c r="A40" s="45" t="s">
        <v>56</v>
      </c>
      <c r="B40" s="47"/>
      <c r="C40" s="9">
        <v>529</v>
      </c>
      <c r="D40" s="8">
        <f aca="true" t="shared" si="3" ref="D40:K40">SUM(D34:D39)</f>
        <v>17.325</v>
      </c>
      <c r="E40" s="8">
        <f t="shared" si="3"/>
        <v>14.185121212121212</v>
      </c>
      <c r="F40" s="8">
        <f t="shared" si="3"/>
        <v>46.18169696969697</v>
      </c>
      <c r="G40" s="9">
        <f t="shared" si="3"/>
        <v>413.4</v>
      </c>
      <c r="H40" s="8">
        <f t="shared" si="3"/>
        <v>205.49939393939394</v>
      </c>
      <c r="I40" s="8">
        <f t="shared" si="3"/>
        <v>73.22242424242424</v>
      </c>
      <c r="J40" s="8">
        <f t="shared" si="3"/>
        <v>2.826969696969697</v>
      </c>
      <c r="K40" s="8">
        <f t="shared" si="3"/>
        <v>61.27569696969697</v>
      </c>
      <c r="L40" s="282"/>
    </row>
    <row r="41" spans="1:12" ht="15.75">
      <c r="A41" s="55" t="s">
        <v>57</v>
      </c>
      <c r="B41" s="47"/>
      <c r="C41" s="9"/>
      <c r="D41" s="8">
        <f aca="true" t="shared" si="4" ref="D41:K41">D18+D22+D32+D40</f>
        <v>45.821333333333335</v>
      </c>
      <c r="E41" s="8">
        <f t="shared" si="4"/>
        <v>32.92845454545455</v>
      </c>
      <c r="F41" s="8">
        <f t="shared" si="4"/>
        <v>165.2125303030303</v>
      </c>
      <c r="G41" s="9">
        <f t="shared" si="4"/>
        <v>1259.5</v>
      </c>
      <c r="H41" s="8">
        <f t="shared" si="4"/>
        <v>530.2567272727273</v>
      </c>
      <c r="I41" s="8">
        <f t="shared" si="4"/>
        <v>208.20875757575757</v>
      </c>
      <c r="J41" s="8">
        <f t="shared" si="4"/>
        <v>13.680469696969698</v>
      </c>
      <c r="K41" s="8">
        <f t="shared" si="4"/>
        <v>83.34069696969698</v>
      </c>
      <c r="L41" s="282"/>
    </row>
    <row r="42" spans="1:12" ht="15.75">
      <c r="A42" s="4"/>
      <c r="B42" s="583"/>
      <c r="C42" s="584"/>
      <c r="D42" s="584"/>
      <c r="E42" s="584"/>
      <c r="F42" s="584"/>
      <c r="G42" s="584"/>
      <c r="H42" s="584"/>
      <c r="I42" s="584"/>
      <c r="J42" s="584"/>
      <c r="K42" s="585"/>
      <c r="L42" s="282"/>
    </row>
    <row r="43" spans="1:12" ht="15.75">
      <c r="A43" s="40"/>
      <c r="B43" s="574" t="s">
        <v>29</v>
      </c>
      <c r="C43" s="575"/>
      <c r="D43" s="575"/>
      <c r="E43" s="575"/>
      <c r="F43" s="575"/>
      <c r="G43" s="575"/>
      <c r="H43" s="575"/>
      <c r="I43" s="575"/>
      <c r="J43" s="575"/>
      <c r="K43" s="576"/>
      <c r="L43" s="282"/>
    </row>
    <row r="44" spans="1:12" ht="15.75">
      <c r="A44" s="58" t="s">
        <v>52</v>
      </c>
      <c r="B44" s="41"/>
      <c r="C44" s="121"/>
      <c r="D44" s="12"/>
      <c r="E44" s="12"/>
      <c r="F44" s="12"/>
      <c r="G44" s="121"/>
      <c r="H44" s="12"/>
      <c r="I44" s="12"/>
      <c r="J44" s="12"/>
      <c r="K44" s="12"/>
      <c r="L44" s="282"/>
    </row>
    <row r="45" spans="1:12" ht="15.75">
      <c r="A45" s="58"/>
      <c r="B45" s="225" t="s">
        <v>478</v>
      </c>
      <c r="C45" s="397">
        <v>10</v>
      </c>
      <c r="D45" s="128">
        <v>0</v>
      </c>
      <c r="E45" s="128">
        <v>0</v>
      </c>
      <c r="F45" s="128">
        <v>6.5</v>
      </c>
      <c r="G45" s="496">
        <v>25</v>
      </c>
      <c r="H45" s="128">
        <v>1.4</v>
      </c>
      <c r="I45" s="128">
        <v>0.7</v>
      </c>
      <c r="J45" s="128">
        <v>0.1</v>
      </c>
      <c r="K45" s="128">
        <v>0.1</v>
      </c>
      <c r="L45" s="291" t="s">
        <v>320</v>
      </c>
    </row>
    <row r="46" spans="1:12" ht="15.75">
      <c r="A46" s="44"/>
      <c r="B46" s="324" t="s">
        <v>443</v>
      </c>
      <c r="C46" s="100">
        <v>150</v>
      </c>
      <c r="D46" s="99">
        <v>3.3</v>
      </c>
      <c r="E46" s="99">
        <v>3</v>
      </c>
      <c r="F46" s="99">
        <v>10.1</v>
      </c>
      <c r="G46" s="494">
        <v>99</v>
      </c>
      <c r="H46" s="99">
        <v>128.31</v>
      </c>
      <c r="I46" s="99">
        <v>15.65</v>
      </c>
      <c r="J46" s="99">
        <v>0.19</v>
      </c>
      <c r="K46" s="99">
        <v>0.7</v>
      </c>
      <c r="L46" s="292" t="s">
        <v>442</v>
      </c>
    </row>
    <row r="47" spans="1:12" ht="15.75">
      <c r="A47" s="45"/>
      <c r="B47" s="221" t="s">
        <v>92</v>
      </c>
      <c r="C47" s="28">
        <v>170</v>
      </c>
      <c r="D47" s="34">
        <v>2.805</v>
      </c>
      <c r="E47" s="34">
        <v>2.55</v>
      </c>
      <c r="F47" s="34">
        <v>10.766666666666667</v>
      </c>
      <c r="G47" s="490">
        <v>84</v>
      </c>
      <c r="H47" s="93">
        <v>129.38888888888889</v>
      </c>
      <c r="I47" s="93">
        <v>18.133333333333333</v>
      </c>
      <c r="J47" s="93">
        <v>0.4061111111111111</v>
      </c>
      <c r="K47" s="93">
        <v>1.3505555555555555</v>
      </c>
      <c r="L47" s="287" t="s">
        <v>459</v>
      </c>
    </row>
    <row r="48" spans="1:12" ht="15.75">
      <c r="A48" s="45"/>
      <c r="B48" s="220" t="s">
        <v>36</v>
      </c>
      <c r="C48" s="85">
        <v>25</v>
      </c>
      <c r="D48" s="22">
        <v>1.9</v>
      </c>
      <c r="E48" s="22">
        <v>0.8</v>
      </c>
      <c r="F48" s="22">
        <v>12.8</v>
      </c>
      <c r="G48" s="401">
        <v>66</v>
      </c>
      <c r="H48" s="22">
        <v>8.8</v>
      </c>
      <c r="I48" s="22">
        <v>11.8</v>
      </c>
      <c r="J48" s="22">
        <v>1</v>
      </c>
      <c r="K48" s="22">
        <v>0</v>
      </c>
      <c r="L48" s="279" t="s">
        <v>126</v>
      </c>
    </row>
    <row r="49" spans="1:12" ht="15.75">
      <c r="A49" s="45" t="s">
        <v>23</v>
      </c>
      <c r="B49" s="47"/>
      <c r="C49" s="9">
        <f>SUM(C45:C48)</f>
        <v>355</v>
      </c>
      <c r="D49" s="52">
        <f aca="true" t="shared" si="5" ref="D49:K49">SUM(D45:D48)</f>
        <v>8.005</v>
      </c>
      <c r="E49" s="52">
        <f t="shared" si="5"/>
        <v>6.35</v>
      </c>
      <c r="F49" s="52">
        <f t="shared" si="5"/>
        <v>40.16666666666667</v>
      </c>
      <c r="G49" s="466">
        <f>SUM(G45:G48)</f>
        <v>274</v>
      </c>
      <c r="H49" s="52">
        <f t="shared" si="5"/>
        <v>267.8988888888889</v>
      </c>
      <c r="I49" s="52">
        <f t="shared" si="5"/>
        <v>46.28333333333333</v>
      </c>
      <c r="J49" s="52">
        <f t="shared" si="5"/>
        <v>1.6961111111111111</v>
      </c>
      <c r="K49" s="52">
        <f t="shared" si="5"/>
        <v>2.1505555555555556</v>
      </c>
      <c r="L49" s="282"/>
    </row>
    <row r="50" spans="1:14" ht="15.75">
      <c r="A50" s="40" t="s">
        <v>53</v>
      </c>
      <c r="B50" s="1"/>
      <c r="C50" s="121"/>
      <c r="D50" s="5"/>
      <c r="E50" s="5"/>
      <c r="F50" s="5"/>
      <c r="G50" s="339"/>
      <c r="H50" s="5"/>
      <c r="I50" s="5"/>
      <c r="J50" s="5"/>
      <c r="K50" s="5"/>
      <c r="L50" s="282"/>
      <c r="M50" s="328"/>
      <c r="N50" s="328"/>
    </row>
    <row r="51" spans="1:12" ht="15.75">
      <c r="A51" s="58"/>
      <c r="B51" s="46" t="s">
        <v>436</v>
      </c>
      <c r="C51" s="124" t="s">
        <v>437</v>
      </c>
      <c r="D51" s="3">
        <v>1.04</v>
      </c>
      <c r="E51" s="3">
        <v>0.54</v>
      </c>
      <c r="F51" s="3">
        <v>16.38</v>
      </c>
      <c r="G51" s="124">
        <v>74.4</v>
      </c>
      <c r="H51" s="3">
        <v>13.6</v>
      </c>
      <c r="I51" s="3">
        <v>26.4</v>
      </c>
      <c r="J51" s="3">
        <v>1.62</v>
      </c>
      <c r="K51" s="3">
        <v>11</v>
      </c>
      <c r="L51" s="281" t="s">
        <v>88</v>
      </c>
    </row>
    <row r="52" spans="1:12" ht="15.75">
      <c r="A52" s="4"/>
      <c r="B52" s="46"/>
      <c r="C52" s="9">
        <v>110</v>
      </c>
      <c r="D52" s="8">
        <f aca="true" t="shared" si="6" ref="D52:K52">SUM(D51)</f>
        <v>1.04</v>
      </c>
      <c r="E52" s="8">
        <f t="shared" si="6"/>
        <v>0.54</v>
      </c>
      <c r="F52" s="8">
        <f t="shared" si="6"/>
        <v>16.38</v>
      </c>
      <c r="G52" s="9">
        <f t="shared" si="6"/>
        <v>74.4</v>
      </c>
      <c r="H52" s="8">
        <f t="shared" si="6"/>
        <v>13.6</v>
      </c>
      <c r="I52" s="8">
        <f t="shared" si="6"/>
        <v>26.4</v>
      </c>
      <c r="J52" s="8">
        <f t="shared" si="6"/>
        <v>1.62</v>
      </c>
      <c r="K52" s="8">
        <f t="shared" si="6"/>
        <v>11</v>
      </c>
      <c r="L52" s="281"/>
    </row>
    <row r="53" spans="1:12" ht="15.75">
      <c r="A53" s="40" t="s">
        <v>54</v>
      </c>
      <c r="B53" s="59"/>
      <c r="C53" s="121"/>
      <c r="D53" s="5"/>
      <c r="E53" s="5"/>
      <c r="F53" s="5"/>
      <c r="G53" s="339"/>
      <c r="H53" s="5"/>
      <c r="I53" s="5"/>
      <c r="J53" s="5"/>
      <c r="K53" s="5"/>
      <c r="L53" s="282"/>
    </row>
    <row r="54" spans="1:12" ht="15.75">
      <c r="A54" s="43"/>
      <c r="B54" s="228" t="s">
        <v>306</v>
      </c>
      <c r="C54" s="442" t="s">
        <v>568</v>
      </c>
      <c r="D54" s="441">
        <v>0.32</v>
      </c>
      <c r="E54" s="26">
        <v>3.2</v>
      </c>
      <c r="F54" s="26">
        <v>0.96</v>
      </c>
      <c r="G54" s="74">
        <v>35</v>
      </c>
      <c r="H54" s="26">
        <v>14.64</v>
      </c>
      <c r="I54" s="26">
        <v>5.44</v>
      </c>
      <c r="J54" s="26">
        <v>0.24</v>
      </c>
      <c r="K54" s="26">
        <v>5.28</v>
      </c>
      <c r="L54" s="283" t="s">
        <v>307</v>
      </c>
    </row>
    <row r="55" spans="1:12" ht="15.75">
      <c r="A55" s="44"/>
      <c r="B55" s="262" t="s">
        <v>447</v>
      </c>
      <c r="C55" s="442" t="s">
        <v>579</v>
      </c>
      <c r="D55" s="105">
        <v>2.0730000000000004</v>
      </c>
      <c r="E55" s="22">
        <v>1.9859999999999998</v>
      </c>
      <c r="F55" s="22">
        <v>9.877999999999997</v>
      </c>
      <c r="G55" s="401">
        <v>67</v>
      </c>
      <c r="H55" s="110">
        <v>48.575</v>
      </c>
      <c r="I55" s="110">
        <v>23.465</v>
      </c>
      <c r="J55" s="110">
        <v>0.5880000000000001</v>
      </c>
      <c r="K55" s="22">
        <v>4.5</v>
      </c>
      <c r="L55" s="287" t="s">
        <v>448</v>
      </c>
    </row>
    <row r="56" spans="1:12" ht="15.75">
      <c r="A56" s="44"/>
      <c r="B56" s="262" t="s">
        <v>308</v>
      </c>
      <c r="C56" s="442" t="s">
        <v>444</v>
      </c>
      <c r="D56" s="105">
        <v>7.116666666666665</v>
      </c>
      <c r="E56" s="22">
        <v>7.958333333333334</v>
      </c>
      <c r="F56" s="22">
        <v>9.316666666666666</v>
      </c>
      <c r="G56" s="401">
        <v>137.5</v>
      </c>
      <c r="H56" s="22">
        <v>25.416666666666668</v>
      </c>
      <c r="I56" s="22">
        <v>16.666666666666668</v>
      </c>
      <c r="J56" s="22">
        <v>0.8333333333333334</v>
      </c>
      <c r="K56" s="22">
        <v>0.75</v>
      </c>
      <c r="L56" s="283" t="s">
        <v>309</v>
      </c>
    </row>
    <row r="57" spans="1:12" ht="15.75">
      <c r="A57" s="45"/>
      <c r="B57" s="223" t="s">
        <v>6</v>
      </c>
      <c r="C57" s="384">
        <v>120</v>
      </c>
      <c r="D57" s="86">
        <v>2.4</v>
      </c>
      <c r="E57" s="86">
        <v>3.8181818181818183</v>
      </c>
      <c r="F57" s="86">
        <v>12.545454545454545</v>
      </c>
      <c r="G57" s="492">
        <v>110</v>
      </c>
      <c r="H57" s="86">
        <v>29.563636363636363</v>
      </c>
      <c r="I57" s="86">
        <v>22.254545454545454</v>
      </c>
      <c r="J57" s="86">
        <v>0.7636363636363637</v>
      </c>
      <c r="K57" s="86">
        <v>14.50909090909091</v>
      </c>
      <c r="L57" s="288" t="s">
        <v>310</v>
      </c>
    </row>
    <row r="58" spans="1:12" ht="15.75">
      <c r="A58" s="45"/>
      <c r="B58" s="60" t="s">
        <v>540</v>
      </c>
      <c r="C58" s="384">
        <v>180</v>
      </c>
      <c r="D58" s="36">
        <v>0.396</v>
      </c>
      <c r="E58" s="36">
        <v>0.018000000000000002</v>
      </c>
      <c r="F58" s="36">
        <v>23.1</v>
      </c>
      <c r="G58" s="493">
        <v>94</v>
      </c>
      <c r="H58" s="36">
        <v>28.6</v>
      </c>
      <c r="I58" s="36">
        <v>5.4</v>
      </c>
      <c r="J58" s="36">
        <v>1.1</v>
      </c>
      <c r="K58" s="36">
        <v>0.4</v>
      </c>
      <c r="L58" s="289" t="s">
        <v>9</v>
      </c>
    </row>
    <row r="59" spans="1:12" ht="15.75">
      <c r="A59" s="45"/>
      <c r="B59" s="192" t="s">
        <v>38</v>
      </c>
      <c r="C59" s="28">
        <v>22</v>
      </c>
      <c r="D59" s="22">
        <v>1.4666666666666666</v>
      </c>
      <c r="E59" s="22">
        <v>0.2933333333333333</v>
      </c>
      <c r="F59" s="22">
        <v>8.751111111111111</v>
      </c>
      <c r="G59" s="497">
        <v>44</v>
      </c>
      <c r="H59" s="22">
        <v>10.364444444444443</v>
      </c>
      <c r="I59" s="22">
        <v>10.804444444444446</v>
      </c>
      <c r="J59" s="22">
        <v>0.8800000000000001</v>
      </c>
      <c r="K59" s="22">
        <v>0</v>
      </c>
      <c r="L59" s="280" t="s">
        <v>132</v>
      </c>
    </row>
    <row r="60" spans="1:12" ht="15.75">
      <c r="A60" s="45" t="s">
        <v>27</v>
      </c>
      <c r="B60" s="47"/>
      <c r="C60" s="9">
        <v>638</v>
      </c>
      <c r="D60" s="8">
        <f aca="true" t="shared" si="7" ref="D60:K60">SUM(D54:D59)</f>
        <v>13.772333333333334</v>
      </c>
      <c r="E60" s="8">
        <f t="shared" si="7"/>
        <v>17.273848484848486</v>
      </c>
      <c r="F60" s="8">
        <f t="shared" si="7"/>
        <v>64.55123232323233</v>
      </c>
      <c r="G60" s="9">
        <f t="shared" si="7"/>
        <v>487.5</v>
      </c>
      <c r="H60" s="8">
        <f t="shared" si="7"/>
        <v>157.1597474747475</v>
      </c>
      <c r="I60" s="8">
        <f t="shared" si="7"/>
        <v>84.03065656565657</v>
      </c>
      <c r="J60" s="8">
        <f t="shared" si="7"/>
        <v>4.404969696969697</v>
      </c>
      <c r="K60" s="8">
        <f t="shared" si="7"/>
        <v>25.439090909090908</v>
      </c>
      <c r="L60" s="282"/>
    </row>
    <row r="61" spans="1:12" ht="15.75">
      <c r="A61" s="45"/>
      <c r="B61" s="53"/>
      <c r="C61" s="121"/>
      <c r="D61" s="5"/>
      <c r="E61" s="5"/>
      <c r="F61" s="5"/>
      <c r="G61" s="339"/>
      <c r="H61" s="5"/>
      <c r="I61" s="5"/>
      <c r="J61" s="5"/>
      <c r="K61" s="5"/>
      <c r="L61" s="282"/>
    </row>
    <row r="62" spans="1:12" ht="15.75">
      <c r="A62" s="45" t="s">
        <v>55</v>
      </c>
      <c r="B62" s="228" t="s">
        <v>502</v>
      </c>
      <c r="C62" s="442" t="s">
        <v>568</v>
      </c>
      <c r="D62" s="193">
        <v>0.4</v>
      </c>
      <c r="E62" s="193">
        <v>2.24</v>
      </c>
      <c r="F62" s="193">
        <v>1.76</v>
      </c>
      <c r="G62" s="498">
        <v>30.4</v>
      </c>
      <c r="H62" s="193">
        <v>3.0399999999999996</v>
      </c>
      <c r="I62" s="193">
        <v>1.76</v>
      </c>
      <c r="J62" s="193">
        <v>0.4</v>
      </c>
      <c r="K62" s="193">
        <v>7.04</v>
      </c>
      <c r="L62" s="293" t="s">
        <v>105</v>
      </c>
    </row>
    <row r="63" spans="1:12" ht="15.75">
      <c r="A63" s="54"/>
      <c r="B63" s="231" t="s">
        <v>543</v>
      </c>
      <c r="C63" s="398" t="s">
        <v>383</v>
      </c>
      <c r="D63" s="69">
        <v>8.489999999999998</v>
      </c>
      <c r="E63" s="69">
        <v>6.668</v>
      </c>
      <c r="F63" s="69">
        <v>6.236000000000001</v>
      </c>
      <c r="G63" s="493">
        <v>119</v>
      </c>
      <c r="H63" s="69">
        <v>40.1</v>
      </c>
      <c r="I63" s="69">
        <v>28.4</v>
      </c>
      <c r="J63" s="69">
        <v>0.5</v>
      </c>
      <c r="K63" s="69">
        <v>0.331</v>
      </c>
      <c r="L63" s="288" t="s">
        <v>313</v>
      </c>
    </row>
    <row r="64" spans="1:12" ht="15.75">
      <c r="A64" s="54"/>
      <c r="B64" s="60" t="s">
        <v>348</v>
      </c>
      <c r="C64" s="430" t="s">
        <v>541</v>
      </c>
      <c r="D64" s="36">
        <v>2.5090909090909093</v>
      </c>
      <c r="E64" s="36">
        <v>3.9272727272727272</v>
      </c>
      <c r="F64" s="36">
        <v>7.821818181818181</v>
      </c>
      <c r="G64" s="493">
        <v>75.5</v>
      </c>
      <c r="H64" s="36">
        <v>65.34545454545454</v>
      </c>
      <c r="I64" s="36">
        <v>24.763636363636362</v>
      </c>
      <c r="J64" s="36">
        <v>0.9818181818181818</v>
      </c>
      <c r="K64" s="36">
        <v>20.618181818181817</v>
      </c>
      <c r="L64" s="289" t="s">
        <v>314</v>
      </c>
    </row>
    <row r="65" spans="1:12" ht="15.75">
      <c r="A65" s="54"/>
      <c r="B65" s="229" t="s">
        <v>79</v>
      </c>
      <c r="C65" s="443" t="s">
        <v>571</v>
      </c>
      <c r="D65" s="34">
        <v>0.08</v>
      </c>
      <c r="E65" s="34">
        <v>0.04</v>
      </c>
      <c r="F65" s="34">
        <v>6.83</v>
      </c>
      <c r="G65" s="498">
        <v>28.4</v>
      </c>
      <c r="H65" s="34">
        <v>8.9</v>
      </c>
      <c r="I65" s="34">
        <v>1.4</v>
      </c>
      <c r="J65" s="34">
        <v>0.29</v>
      </c>
      <c r="K65" s="34">
        <v>0.16</v>
      </c>
      <c r="L65" s="294" t="s">
        <v>460</v>
      </c>
    </row>
    <row r="66" spans="1:12" ht="15.75">
      <c r="A66" s="54"/>
      <c r="B66" s="230" t="s">
        <v>315</v>
      </c>
      <c r="C66" s="399">
        <v>45</v>
      </c>
      <c r="D66" s="68">
        <v>3.555</v>
      </c>
      <c r="E66" s="68">
        <v>3.654</v>
      </c>
      <c r="F66" s="116">
        <v>24.516</v>
      </c>
      <c r="G66" s="467">
        <v>142</v>
      </c>
      <c r="H66" s="116">
        <v>10.079999999999998</v>
      </c>
      <c r="I66" s="116">
        <v>12.78</v>
      </c>
      <c r="J66" s="116">
        <v>0.6299999999999999</v>
      </c>
      <c r="K66" s="116">
        <v>0</v>
      </c>
      <c r="L66" s="295" t="s">
        <v>316</v>
      </c>
    </row>
    <row r="67" spans="1:12" ht="15.75">
      <c r="A67" s="54"/>
      <c r="B67" s="192" t="s">
        <v>38</v>
      </c>
      <c r="C67" s="386">
        <v>14</v>
      </c>
      <c r="D67" s="93">
        <v>1.0266666666666668</v>
      </c>
      <c r="E67" s="93">
        <v>0.18666666666666665</v>
      </c>
      <c r="F67" s="93">
        <v>5.786666666666667</v>
      </c>
      <c r="G67" s="490">
        <v>29.2</v>
      </c>
      <c r="H67" s="93">
        <v>4.946666666666666</v>
      </c>
      <c r="I67" s="93">
        <v>6.626666666666668</v>
      </c>
      <c r="J67" s="93">
        <v>0.56</v>
      </c>
      <c r="K67" s="93">
        <v>0</v>
      </c>
      <c r="L67" s="280" t="s">
        <v>132</v>
      </c>
    </row>
    <row r="68" spans="1:12" ht="15.75">
      <c r="A68" s="45" t="s">
        <v>56</v>
      </c>
      <c r="B68" s="47"/>
      <c r="C68" s="9">
        <v>456</v>
      </c>
      <c r="D68" s="8">
        <f aca="true" t="shared" si="8" ref="D68:K68">SUM(D62:D67)</f>
        <v>16.060757575757574</v>
      </c>
      <c r="E68" s="8">
        <f t="shared" si="8"/>
        <v>16.715939393939394</v>
      </c>
      <c r="F68" s="8">
        <f t="shared" si="8"/>
        <v>52.95048484848485</v>
      </c>
      <c r="G68" s="9">
        <f t="shared" si="8"/>
        <v>424.5</v>
      </c>
      <c r="H68" s="8">
        <f t="shared" si="8"/>
        <v>132.4121212121212</v>
      </c>
      <c r="I68" s="8">
        <f t="shared" si="8"/>
        <v>75.73030303030302</v>
      </c>
      <c r="J68" s="8">
        <f t="shared" si="8"/>
        <v>3.361818181818182</v>
      </c>
      <c r="K68" s="8">
        <f t="shared" si="8"/>
        <v>28.14918181818182</v>
      </c>
      <c r="L68" s="296"/>
    </row>
    <row r="69" spans="1:12" ht="15.75">
      <c r="A69" s="55" t="s">
        <v>58</v>
      </c>
      <c r="B69" s="56"/>
      <c r="C69" s="9"/>
      <c r="D69" s="8">
        <f aca="true" t="shared" si="9" ref="D69:K69">SUM(D49,D52,D60,D68)</f>
        <v>38.878090909090915</v>
      </c>
      <c r="E69" s="8">
        <f t="shared" si="9"/>
        <v>40.87978787878788</v>
      </c>
      <c r="F69" s="8">
        <f t="shared" si="9"/>
        <v>174.04838383838384</v>
      </c>
      <c r="G69" s="9">
        <f t="shared" si="9"/>
        <v>1260.4</v>
      </c>
      <c r="H69" s="8">
        <f t="shared" si="9"/>
        <v>571.0707575757576</v>
      </c>
      <c r="I69" s="8">
        <f t="shared" si="9"/>
        <v>232.4442929292929</v>
      </c>
      <c r="J69" s="8">
        <f t="shared" si="9"/>
        <v>11.08289898989899</v>
      </c>
      <c r="K69" s="8">
        <f t="shared" si="9"/>
        <v>66.73882828282828</v>
      </c>
      <c r="L69" s="297"/>
    </row>
    <row r="70" spans="1:12" ht="15.75">
      <c r="A70" s="45"/>
      <c r="B70" s="583"/>
      <c r="C70" s="584"/>
      <c r="D70" s="584"/>
      <c r="E70" s="584"/>
      <c r="F70" s="584"/>
      <c r="G70" s="584"/>
      <c r="H70" s="584"/>
      <c r="I70" s="584"/>
      <c r="J70" s="584"/>
      <c r="K70" s="585"/>
      <c r="L70" s="282"/>
    </row>
    <row r="71" spans="1:12" ht="15.75">
      <c r="A71" s="55"/>
      <c r="B71" s="599" t="s">
        <v>76</v>
      </c>
      <c r="C71" s="599"/>
      <c r="D71" s="599"/>
      <c r="E71" s="599"/>
      <c r="F71" s="599"/>
      <c r="G71" s="599"/>
      <c r="H71" s="599"/>
      <c r="I71" s="599"/>
      <c r="J71" s="599"/>
      <c r="K71" s="599"/>
      <c r="L71" s="282"/>
    </row>
    <row r="72" spans="1:12" ht="15.75">
      <c r="A72" s="40" t="s">
        <v>52</v>
      </c>
      <c r="B72" s="41"/>
      <c r="C72" s="121"/>
      <c r="D72" s="12"/>
      <c r="E72" s="12"/>
      <c r="F72" s="12"/>
      <c r="G72" s="121"/>
      <c r="H72" s="12"/>
      <c r="I72" s="12"/>
      <c r="J72" s="12"/>
      <c r="K72" s="12"/>
      <c r="L72" s="282"/>
    </row>
    <row r="73" spans="1:12" ht="15.75">
      <c r="A73" s="4"/>
      <c r="B73" s="221" t="s">
        <v>304</v>
      </c>
      <c r="C73" s="28">
        <v>7</v>
      </c>
      <c r="D73" s="22">
        <v>1.6099999999999999</v>
      </c>
      <c r="E73" s="22">
        <v>2.1</v>
      </c>
      <c r="F73" s="84">
        <v>0</v>
      </c>
      <c r="G73" s="401">
        <v>25.2</v>
      </c>
      <c r="H73" s="84">
        <v>61.6</v>
      </c>
      <c r="I73" s="84">
        <v>2.45</v>
      </c>
      <c r="J73" s="84">
        <v>0.07</v>
      </c>
      <c r="K73" s="84">
        <v>0.07</v>
      </c>
      <c r="L73" s="287" t="s">
        <v>305</v>
      </c>
    </row>
    <row r="74" spans="1:12" ht="15.75">
      <c r="A74" s="4"/>
      <c r="B74" s="221" t="s">
        <v>321</v>
      </c>
      <c r="C74" s="85">
        <v>110</v>
      </c>
      <c r="D74" s="84">
        <v>14.035999999999996</v>
      </c>
      <c r="E74" s="84">
        <v>16.8</v>
      </c>
      <c r="F74" s="84">
        <v>2.013</v>
      </c>
      <c r="G74" s="401">
        <v>159.5</v>
      </c>
      <c r="H74" s="84">
        <v>207.46</v>
      </c>
      <c r="I74" s="84">
        <v>18.48</v>
      </c>
      <c r="J74" s="84">
        <v>3.41</v>
      </c>
      <c r="K74" s="84">
        <v>0.44</v>
      </c>
      <c r="L74" s="287" t="s">
        <v>322</v>
      </c>
    </row>
    <row r="75" spans="1:12" ht="15.75">
      <c r="A75" s="4"/>
      <c r="B75" s="231" t="s">
        <v>138</v>
      </c>
      <c r="C75" s="439" t="s">
        <v>566</v>
      </c>
      <c r="D75" s="22">
        <v>0.12</v>
      </c>
      <c r="E75" s="22">
        <v>0.02</v>
      </c>
      <c r="F75" s="22">
        <v>7.3</v>
      </c>
      <c r="G75" s="401">
        <v>29</v>
      </c>
      <c r="H75" s="22">
        <v>12.8</v>
      </c>
      <c r="I75" s="22">
        <v>2.2</v>
      </c>
      <c r="J75" s="22">
        <v>0.32</v>
      </c>
      <c r="K75" s="22">
        <v>21.83</v>
      </c>
      <c r="L75" s="279" t="s">
        <v>461</v>
      </c>
    </row>
    <row r="76" spans="1:12" ht="15.75">
      <c r="A76" s="4"/>
      <c r="B76" s="46" t="s">
        <v>36</v>
      </c>
      <c r="C76" s="386">
        <v>25</v>
      </c>
      <c r="D76" s="93">
        <v>1.9</v>
      </c>
      <c r="E76" s="93">
        <v>0.8</v>
      </c>
      <c r="F76" s="93">
        <v>12.8</v>
      </c>
      <c r="G76" s="490">
        <v>66</v>
      </c>
      <c r="H76" s="93">
        <v>8.8</v>
      </c>
      <c r="I76" s="93">
        <v>11.8</v>
      </c>
      <c r="J76" s="93">
        <v>1</v>
      </c>
      <c r="K76" s="93">
        <v>0</v>
      </c>
      <c r="L76" s="280" t="s">
        <v>7</v>
      </c>
    </row>
    <row r="77" spans="1:12" ht="15.75">
      <c r="A77" s="45" t="s">
        <v>23</v>
      </c>
      <c r="B77" s="47"/>
      <c r="C77" s="9">
        <v>357</v>
      </c>
      <c r="D77" s="8">
        <f aca="true" t="shared" si="10" ref="D77:K77">SUM(D73:D76)</f>
        <v>17.665999999999993</v>
      </c>
      <c r="E77" s="8">
        <f t="shared" si="10"/>
        <v>19.720000000000002</v>
      </c>
      <c r="F77" s="8">
        <f t="shared" si="10"/>
        <v>22.113</v>
      </c>
      <c r="G77" s="9">
        <f t="shared" si="10"/>
        <v>279.7</v>
      </c>
      <c r="H77" s="8">
        <f t="shared" si="10"/>
        <v>290.66</v>
      </c>
      <c r="I77" s="8">
        <f t="shared" si="10"/>
        <v>34.93</v>
      </c>
      <c r="J77" s="8">
        <f t="shared" si="10"/>
        <v>4.8</v>
      </c>
      <c r="K77" s="8">
        <f t="shared" si="10"/>
        <v>22.34</v>
      </c>
      <c r="L77" s="282"/>
    </row>
    <row r="78" spans="1:12" ht="15.75">
      <c r="A78" s="40" t="s">
        <v>53</v>
      </c>
      <c r="B78" s="1"/>
      <c r="C78" s="121"/>
      <c r="D78" s="5"/>
      <c r="E78" s="5"/>
      <c r="F78" s="5"/>
      <c r="G78" s="339"/>
      <c r="H78" s="5"/>
      <c r="I78" s="5"/>
      <c r="J78" s="5"/>
      <c r="K78" s="5"/>
      <c r="L78" s="282"/>
    </row>
    <row r="79" spans="1:12" ht="15.75">
      <c r="A79" s="58"/>
      <c r="B79" s="42" t="s">
        <v>323</v>
      </c>
      <c r="C79" s="123">
        <v>100</v>
      </c>
      <c r="D79" s="127">
        <v>2.0073529411764706</v>
      </c>
      <c r="E79" s="127">
        <v>1.1580882352941178</v>
      </c>
      <c r="F79" s="127">
        <v>10.886029411764707</v>
      </c>
      <c r="G79" s="123">
        <v>69</v>
      </c>
      <c r="H79" s="127">
        <v>47.095588235294116</v>
      </c>
      <c r="I79" s="127">
        <v>19.455882352941178</v>
      </c>
      <c r="J79" s="127">
        <v>1.0036764705882353</v>
      </c>
      <c r="K79" s="127">
        <v>17.602941176470587</v>
      </c>
      <c r="L79" s="281" t="s">
        <v>324</v>
      </c>
    </row>
    <row r="80" spans="1:12" ht="15.75">
      <c r="A80" s="4"/>
      <c r="B80" s="42"/>
      <c r="C80" s="9">
        <f>SUM(C79)</f>
        <v>100</v>
      </c>
      <c r="D80" s="8">
        <f>SUM(D79)</f>
        <v>2.0073529411764706</v>
      </c>
      <c r="E80" s="8">
        <f aca="true" t="shared" si="11" ref="E80:K80">SUM(E79)</f>
        <v>1.1580882352941178</v>
      </c>
      <c r="F80" s="8">
        <f t="shared" si="11"/>
        <v>10.886029411764707</v>
      </c>
      <c r="G80" s="9">
        <f t="shared" si="11"/>
        <v>69</v>
      </c>
      <c r="H80" s="8">
        <f t="shared" si="11"/>
        <v>47.095588235294116</v>
      </c>
      <c r="I80" s="8">
        <f t="shared" si="11"/>
        <v>19.455882352941178</v>
      </c>
      <c r="J80" s="8">
        <f t="shared" si="11"/>
        <v>1.0036764705882353</v>
      </c>
      <c r="K80" s="8">
        <f t="shared" si="11"/>
        <v>17.602941176470587</v>
      </c>
      <c r="L80" s="298"/>
    </row>
    <row r="81" spans="1:12" ht="15.75">
      <c r="A81" s="40" t="s">
        <v>54</v>
      </c>
      <c r="B81" s="41"/>
      <c r="C81" s="121"/>
      <c r="D81" s="5"/>
      <c r="E81" s="5"/>
      <c r="F81" s="5"/>
      <c r="G81" s="339"/>
      <c r="H81" s="5"/>
      <c r="I81" s="5"/>
      <c r="J81" s="5"/>
      <c r="K81" s="5"/>
      <c r="L81" s="282"/>
    </row>
    <row r="82" spans="1:12" ht="15.75">
      <c r="A82" s="4"/>
      <c r="B82" s="228" t="s">
        <v>515</v>
      </c>
      <c r="C82" s="442" t="s">
        <v>568</v>
      </c>
      <c r="D82" s="39">
        <v>0.752</v>
      </c>
      <c r="E82" s="39">
        <v>2.16</v>
      </c>
      <c r="F82" s="39">
        <v>4.624</v>
      </c>
      <c r="G82" s="74">
        <v>40</v>
      </c>
      <c r="H82" s="24">
        <v>1.784</v>
      </c>
      <c r="I82" s="24">
        <v>0.56</v>
      </c>
      <c r="J82" s="24">
        <v>0.0128</v>
      </c>
      <c r="K82" s="39">
        <v>1.2</v>
      </c>
      <c r="L82" s="287" t="s">
        <v>347</v>
      </c>
    </row>
    <row r="83" spans="1:12" ht="15.75">
      <c r="A83" s="4"/>
      <c r="B83" s="226" t="s">
        <v>526</v>
      </c>
      <c r="C83" s="439" t="s">
        <v>113</v>
      </c>
      <c r="D83" s="22">
        <v>3.375</v>
      </c>
      <c r="E83" s="22">
        <v>3.1619999999999995</v>
      </c>
      <c r="F83" s="22">
        <v>9.9</v>
      </c>
      <c r="G83" s="401">
        <v>81.5</v>
      </c>
      <c r="H83" s="39">
        <v>68.39999999999999</v>
      </c>
      <c r="I83" s="39">
        <v>63.45</v>
      </c>
      <c r="J83" s="39">
        <v>3.6000000000000005</v>
      </c>
      <c r="K83" s="22">
        <v>5.025</v>
      </c>
      <c r="L83" s="287" t="s">
        <v>95</v>
      </c>
    </row>
    <row r="84" spans="1:12" ht="15.75">
      <c r="A84" s="4"/>
      <c r="B84" s="387" t="s">
        <v>100</v>
      </c>
      <c r="C84" s="389">
        <v>60</v>
      </c>
      <c r="D84" s="388">
        <v>14.5</v>
      </c>
      <c r="E84" s="388">
        <v>5.7</v>
      </c>
      <c r="F84" s="388">
        <v>0.7</v>
      </c>
      <c r="G84" s="499">
        <v>111.6</v>
      </c>
      <c r="H84" s="388">
        <v>24.4</v>
      </c>
      <c r="I84" s="388">
        <v>16.4</v>
      </c>
      <c r="J84" s="388">
        <v>1.5</v>
      </c>
      <c r="K84" s="388">
        <v>0.1</v>
      </c>
      <c r="L84" s="327" t="s">
        <v>101</v>
      </c>
    </row>
    <row r="85" spans="1:12" ht="15.75">
      <c r="A85" s="4"/>
      <c r="B85" s="390" t="s">
        <v>81</v>
      </c>
      <c r="C85" s="392">
        <v>110</v>
      </c>
      <c r="D85" s="391">
        <v>1.8791666666666664</v>
      </c>
      <c r="E85" s="391">
        <v>3.025</v>
      </c>
      <c r="F85" s="391">
        <v>19.525</v>
      </c>
      <c r="G85" s="500">
        <v>112.5</v>
      </c>
      <c r="H85" s="391">
        <v>3.025</v>
      </c>
      <c r="I85" s="391">
        <v>13.2</v>
      </c>
      <c r="J85" s="391">
        <v>0.275</v>
      </c>
      <c r="K85" s="391">
        <v>0</v>
      </c>
      <c r="L85" s="312" t="s">
        <v>41</v>
      </c>
    </row>
    <row r="86" spans="1:12" ht="15.75">
      <c r="A86" s="4"/>
      <c r="B86" s="230" t="s">
        <v>87</v>
      </c>
      <c r="C86" s="112">
        <v>180</v>
      </c>
      <c r="D86" s="90">
        <v>0.1</v>
      </c>
      <c r="E86" s="90">
        <v>0</v>
      </c>
      <c r="F86" s="90">
        <v>12.06</v>
      </c>
      <c r="G86" s="501">
        <v>51</v>
      </c>
      <c r="H86" s="90">
        <v>6.12</v>
      </c>
      <c r="I86" s="90">
        <v>1.71</v>
      </c>
      <c r="J86" s="90">
        <v>0.18</v>
      </c>
      <c r="K86" s="90">
        <v>5.76</v>
      </c>
      <c r="L86" s="285" t="s">
        <v>462</v>
      </c>
    </row>
    <row r="87" spans="1:12" ht="15.75">
      <c r="A87" s="4"/>
      <c r="B87" s="192" t="s">
        <v>37</v>
      </c>
      <c r="C87" s="28">
        <v>14</v>
      </c>
      <c r="D87" s="22">
        <v>1.12</v>
      </c>
      <c r="E87" s="22">
        <v>0.28</v>
      </c>
      <c r="F87" s="22">
        <v>6.860000000000001</v>
      </c>
      <c r="G87" s="401">
        <v>33.6</v>
      </c>
      <c r="H87" s="22">
        <v>3.2199999999999998</v>
      </c>
      <c r="I87" s="22">
        <v>4.619999999999999</v>
      </c>
      <c r="J87" s="22">
        <v>0.42000000000000004</v>
      </c>
      <c r="K87" s="22">
        <v>0</v>
      </c>
      <c r="L87" s="280" t="s">
        <v>21</v>
      </c>
    </row>
    <row r="88" spans="1:12" ht="15.75">
      <c r="A88" s="4"/>
      <c r="B88" s="192" t="s">
        <v>38</v>
      </c>
      <c r="C88" s="386">
        <v>30</v>
      </c>
      <c r="D88" s="93">
        <v>2.04</v>
      </c>
      <c r="E88" s="93">
        <v>0.39</v>
      </c>
      <c r="F88" s="93">
        <v>11.94</v>
      </c>
      <c r="G88" s="490">
        <v>60</v>
      </c>
      <c r="H88" s="93">
        <v>14.1</v>
      </c>
      <c r="I88" s="93">
        <v>14.7</v>
      </c>
      <c r="J88" s="93">
        <v>1.17</v>
      </c>
      <c r="K88" s="93">
        <v>0</v>
      </c>
      <c r="L88" s="280" t="s">
        <v>22</v>
      </c>
    </row>
    <row r="89" spans="1:12" ht="15.75">
      <c r="A89" s="45" t="s">
        <v>27</v>
      </c>
      <c r="B89" s="56"/>
      <c r="C89" s="9">
        <v>593</v>
      </c>
      <c r="D89" s="8">
        <f aca="true" t="shared" si="12" ref="D89:K89">SUM(D82:D88)</f>
        <v>23.766166666666667</v>
      </c>
      <c r="E89" s="8">
        <f t="shared" si="12"/>
        <v>14.716999999999999</v>
      </c>
      <c r="F89" s="8">
        <f t="shared" si="12"/>
        <v>65.609</v>
      </c>
      <c r="G89" s="9">
        <f t="shared" si="12"/>
        <v>490.20000000000005</v>
      </c>
      <c r="H89" s="8">
        <f t="shared" si="12"/>
        <v>121.049</v>
      </c>
      <c r="I89" s="8">
        <f t="shared" si="12"/>
        <v>114.64</v>
      </c>
      <c r="J89" s="8">
        <f t="shared" si="12"/>
        <v>7.1578</v>
      </c>
      <c r="K89" s="8">
        <f t="shared" si="12"/>
        <v>12.085</v>
      </c>
      <c r="L89" s="282"/>
    </row>
    <row r="90" spans="1:12" ht="15.75">
      <c r="A90" s="45" t="s">
        <v>55</v>
      </c>
      <c r="B90" s="1"/>
      <c r="C90" s="123"/>
      <c r="D90" s="127"/>
      <c r="E90" s="127"/>
      <c r="F90" s="127"/>
      <c r="G90" s="502"/>
      <c r="H90" s="127"/>
      <c r="I90" s="127"/>
      <c r="J90" s="127"/>
      <c r="K90" s="127"/>
      <c r="L90" s="282"/>
    </row>
    <row r="91" spans="1:12" ht="15.75">
      <c r="A91" s="61"/>
      <c r="B91" s="221" t="s">
        <v>453</v>
      </c>
      <c r="C91" s="28">
        <v>40</v>
      </c>
      <c r="D91" s="127">
        <v>0.32</v>
      </c>
      <c r="E91" s="26">
        <v>2.08</v>
      </c>
      <c r="F91" s="26">
        <v>2.08</v>
      </c>
      <c r="G91" s="74">
        <v>28.4</v>
      </c>
      <c r="H91" s="24">
        <v>8.72</v>
      </c>
      <c r="I91" s="24">
        <v>7.84</v>
      </c>
      <c r="J91" s="24">
        <v>0.4</v>
      </c>
      <c r="K91" s="24">
        <v>5.04</v>
      </c>
      <c r="L91" s="299" t="s">
        <v>455</v>
      </c>
    </row>
    <row r="92" spans="1:12" ht="15.75">
      <c r="A92" s="4"/>
      <c r="B92" s="232" t="s">
        <v>426</v>
      </c>
      <c r="C92" s="400">
        <v>130</v>
      </c>
      <c r="D92" s="105">
        <v>23.5</v>
      </c>
      <c r="E92" s="105">
        <v>18.1</v>
      </c>
      <c r="F92" s="105">
        <v>21.4</v>
      </c>
      <c r="G92" s="495">
        <v>159.4</v>
      </c>
      <c r="H92" s="105">
        <v>196</v>
      </c>
      <c r="I92" s="105">
        <v>29.8</v>
      </c>
      <c r="J92" s="105">
        <v>1</v>
      </c>
      <c r="K92" s="105">
        <v>0.5</v>
      </c>
      <c r="L92" s="300" t="s">
        <v>438</v>
      </c>
    </row>
    <row r="93" spans="1:12" ht="15.75">
      <c r="A93" s="4"/>
      <c r="B93" s="226" t="s">
        <v>341</v>
      </c>
      <c r="C93" s="384">
        <v>35</v>
      </c>
      <c r="D93" s="22">
        <v>2.45</v>
      </c>
      <c r="E93" s="22">
        <v>0.175</v>
      </c>
      <c r="F93" s="22">
        <v>11.375</v>
      </c>
      <c r="G93" s="401">
        <v>32.3</v>
      </c>
      <c r="H93" s="22">
        <v>0</v>
      </c>
      <c r="I93" s="22">
        <v>0</v>
      </c>
      <c r="J93" s="22">
        <v>0</v>
      </c>
      <c r="K93" s="22">
        <v>0</v>
      </c>
      <c r="L93" s="287" t="s">
        <v>3</v>
      </c>
    </row>
    <row r="94" spans="1:12" ht="15.75">
      <c r="A94" s="4"/>
      <c r="B94" s="233" t="s">
        <v>77</v>
      </c>
      <c r="C94" s="273">
        <v>150</v>
      </c>
      <c r="D94" s="63">
        <v>4.35</v>
      </c>
      <c r="E94" s="63">
        <v>3.75</v>
      </c>
      <c r="F94" s="63">
        <v>6</v>
      </c>
      <c r="G94" s="273">
        <v>75.4</v>
      </c>
      <c r="H94" s="63">
        <v>180</v>
      </c>
      <c r="I94" s="63">
        <v>21</v>
      </c>
      <c r="J94" s="63">
        <v>0.2</v>
      </c>
      <c r="K94" s="63">
        <v>1.05</v>
      </c>
      <c r="L94" s="301" t="s">
        <v>342</v>
      </c>
    </row>
    <row r="95" spans="1:12" ht="15.75">
      <c r="A95" s="4"/>
      <c r="B95" s="233" t="s">
        <v>111</v>
      </c>
      <c r="C95" s="273">
        <v>110</v>
      </c>
      <c r="D95" s="63">
        <v>3</v>
      </c>
      <c r="E95" s="63">
        <v>0</v>
      </c>
      <c r="F95" s="63">
        <v>13</v>
      </c>
      <c r="G95" s="273">
        <v>90</v>
      </c>
      <c r="H95" s="63">
        <v>130</v>
      </c>
      <c r="I95" s="63">
        <v>14.3</v>
      </c>
      <c r="J95" s="63">
        <v>0.11</v>
      </c>
      <c r="K95" s="63">
        <v>0.7</v>
      </c>
      <c r="L95" s="301" t="s">
        <v>3</v>
      </c>
    </row>
    <row r="96" spans="1:12" ht="15.75">
      <c r="A96" s="4"/>
      <c r="B96" s="332" t="s">
        <v>37</v>
      </c>
      <c r="C96" s="335">
        <v>15</v>
      </c>
      <c r="D96" s="334">
        <v>1.1666666666666665</v>
      </c>
      <c r="E96" s="334">
        <v>0.16666666666666669</v>
      </c>
      <c r="F96" s="334">
        <v>7.416666666666666</v>
      </c>
      <c r="G96" s="503">
        <v>35.526315789473685</v>
      </c>
      <c r="H96" s="334">
        <v>3.5</v>
      </c>
      <c r="I96" s="334">
        <v>5</v>
      </c>
      <c r="J96" s="334">
        <v>0.33333333333333337</v>
      </c>
      <c r="K96" s="334">
        <v>0</v>
      </c>
      <c r="L96" s="336" t="s">
        <v>311</v>
      </c>
    </row>
    <row r="97" spans="1:12" ht="15.75">
      <c r="A97" s="45" t="s">
        <v>56</v>
      </c>
      <c r="B97" s="47"/>
      <c r="C97" s="9">
        <f aca="true" t="shared" si="13" ref="C97:K97">SUM(C91:C96)</f>
        <v>480</v>
      </c>
      <c r="D97" s="8">
        <f t="shared" si="13"/>
        <v>34.78666666666666</v>
      </c>
      <c r="E97" s="8">
        <f t="shared" si="13"/>
        <v>24.27166666666667</v>
      </c>
      <c r="F97" s="8">
        <f t="shared" si="13"/>
        <v>61.27166666666666</v>
      </c>
      <c r="G97" s="9">
        <f t="shared" si="13"/>
        <v>421.0263157894737</v>
      </c>
      <c r="H97" s="8">
        <f t="shared" si="13"/>
        <v>518.22</v>
      </c>
      <c r="I97" s="8">
        <f t="shared" si="13"/>
        <v>77.94</v>
      </c>
      <c r="J97" s="8">
        <f t="shared" si="13"/>
        <v>2.0433333333333334</v>
      </c>
      <c r="K97" s="8">
        <f t="shared" si="13"/>
        <v>7.29</v>
      </c>
      <c r="L97" s="296"/>
    </row>
    <row r="98" spans="1:12" ht="15.75">
      <c r="A98" s="55" t="s">
        <v>59</v>
      </c>
      <c r="B98" s="56"/>
      <c r="C98" s="9"/>
      <c r="D98" s="8">
        <f aca="true" t="shared" si="14" ref="D98:K98">SUM(D77,D80,D89,D97)</f>
        <v>78.22618627450979</v>
      </c>
      <c r="E98" s="8">
        <f t="shared" si="14"/>
        <v>59.86675490196079</v>
      </c>
      <c r="F98" s="8">
        <f t="shared" si="14"/>
        <v>159.87969607843138</v>
      </c>
      <c r="G98" s="9">
        <f t="shared" si="14"/>
        <v>1259.9263157894738</v>
      </c>
      <c r="H98" s="8">
        <f t="shared" si="14"/>
        <v>977.0245882352941</v>
      </c>
      <c r="I98" s="8">
        <f t="shared" si="14"/>
        <v>246.96588235294118</v>
      </c>
      <c r="J98" s="8">
        <f t="shared" si="14"/>
        <v>15.004809803921567</v>
      </c>
      <c r="K98" s="8">
        <f t="shared" si="14"/>
        <v>59.31794117647058</v>
      </c>
      <c r="L98" s="282"/>
    </row>
    <row r="99" spans="1:12" ht="15.75">
      <c r="A99" s="4"/>
      <c r="B99" s="583"/>
      <c r="C99" s="584"/>
      <c r="D99" s="584"/>
      <c r="E99" s="584"/>
      <c r="F99" s="584"/>
      <c r="G99" s="584"/>
      <c r="H99" s="584"/>
      <c r="I99" s="584"/>
      <c r="J99" s="584"/>
      <c r="K99" s="585"/>
      <c r="L99" s="282"/>
    </row>
    <row r="100" spans="1:12" ht="15.75">
      <c r="A100" s="4"/>
      <c r="B100" s="586" t="s">
        <v>75</v>
      </c>
      <c r="C100" s="586"/>
      <c r="D100" s="586"/>
      <c r="E100" s="586"/>
      <c r="F100" s="586"/>
      <c r="G100" s="586"/>
      <c r="H100" s="586"/>
      <c r="I100" s="586"/>
      <c r="J100" s="586"/>
      <c r="K100" s="586"/>
      <c r="L100" s="282"/>
    </row>
    <row r="101" spans="1:12" ht="15.75">
      <c r="A101" s="40" t="s">
        <v>52</v>
      </c>
      <c r="B101" s="41"/>
      <c r="C101" s="121"/>
      <c r="D101" s="12"/>
      <c r="E101" s="12"/>
      <c r="F101" s="12"/>
      <c r="G101" s="121"/>
      <c r="H101" s="12"/>
      <c r="I101" s="12"/>
      <c r="J101" s="12"/>
      <c r="K101" s="12"/>
      <c r="L101" s="282"/>
    </row>
    <row r="102" spans="1:12" ht="15.75">
      <c r="A102" s="4"/>
      <c r="B102" s="91" t="s">
        <v>327</v>
      </c>
      <c r="C102" s="88">
        <v>10</v>
      </c>
      <c r="D102" s="70">
        <v>1.83</v>
      </c>
      <c r="E102" s="70">
        <v>4.11</v>
      </c>
      <c r="F102" s="70">
        <v>0.03</v>
      </c>
      <c r="G102" s="504">
        <v>45</v>
      </c>
      <c r="H102" s="70">
        <v>69.24</v>
      </c>
      <c r="I102" s="70">
        <v>2.73</v>
      </c>
      <c r="J102" s="70">
        <v>0.08</v>
      </c>
      <c r="K102" s="70">
        <v>0.1</v>
      </c>
      <c r="L102" s="303" t="s">
        <v>328</v>
      </c>
    </row>
    <row r="103" spans="1:12" ht="15.75">
      <c r="A103" s="4"/>
      <c r="B103" s="226" t="s">
        <v>503</v>
      </c>
      <c r="C103" s="401">
        <v>150</v>
      </c>
      <c r="D103" s="22">
        <v>2.4</v>
      </c>
      <c r="E103" s="22">
        <v>4.1</v>
      </c>
      <c r="F103" s="22">
        <v>13.9</v>
      </c>
      <c r="G103" s="401">
        <v>110</v>
      </c>
      <c r="H103" s="22">
        <v>121.4</v>
      </c>
      <c r="I103" s="22">
        <v>22.2</v>
      </c>
      <c r="J103" s="22">
        <v>0.4</v>
      </c>
      <c r="K103" s="22">
        <v>0.7</v>
      </c>
      <c r="L103" s="113" t="s">
        <v>10</v>
      </c>
    </row>
    <row r="104" spans="1:12" ht="15.75">
      <c r="A104" s="4"/>
      <c r="B104" s="220" t="s">
        <v>1</v>
      </c>
      <c r="C104" s="85">
        <v>170</v>
      </c>
      <c r="D104" s="22">
        <v>2.691666666666667</v>
      </c>
      <c r="E104" s="22">
        <v>2.276111111111111</v>
      </c>
      <c r="F104" s="22">
        <v>8.5</v>
      </c>
      <c r="G104" s="401">
        <v>65.4</v>
      </c>
      <c r="H104" s="22">
        <v>106.91111111111111</v>
      </c>
      <c r="I104" s="22">
        <v>11.9</v>
      </c>
      <c r="J104" s="22">
        <v>0.11333333333333333</v>
      </c>
      <c r="K104" s="22">
        <v>1.105</v>
      </c>
      <c r="L104" s="304" t="s">
        <v>464</v>
      </c>
    </row>
    <row r="105" spans="1:12" ht="15.75">
      <c r="A105" s="4"/>
      <c r="B105" s="46" t="s">
        <v>36</v>
      </c>
      <c r="C105" s="386">
        <v>25</v>
      </c>
      <c r="D105" s="93">
        <v>1.9</v>
      </c>
      <c r="E105" s="93">
        <v>0.8</v>
      </c>
      <c r="F105" s="93">
        <v>12.8</v>
      </c>
      <c r="G105" s="490">
        <v>66</v>
      </c>
      <c r="H105" s="93">
        <v>8.8</v>
      </c>
      <c r="I105" s="93">
        <v>11.8</v>
      </c>
      <c r="J105" s="93">
        <v>1</v>
      </c>
      <c r="K105" s="93">
        <v>0</v>
      </c>
      <c r="L105" s="280" t="s">
        <v>7</v>
      </c>
    </row>
    <row r="106" spans="1:12" ht="15.75">
      <c r="A106" s="40" t="s">
        <v>23</v>
      </c>
      <c r="B106" s="56"/>
      <c r="C106" s="9">
        <f aca="true" t="shared" si="15" ref="C106:K106">SUM(C102:C105)</f>
        <v>355</v>
      </c>
      <c r="D106" s="8">
        <f t="shared" si="15"/>
        <v>8.821666666666667</v>
      </c>
      <c r="E106" s="8">
        <f t="shared" si="15"/>
        <v>11.286111111111113</v>
      </c>
      <c r="F106" s="8">
        <f t="shared" si="15"/>
        <v>35.230000000000004</v>
      </c>
      <c r="G106" s="9">
        <f t="shared" si="15"/>
        <v>286.4</v>
      </c>
      <c r="H106" s="8">
        <f t="shared" si="15"/>
        <v>306.3511111111111</v>
      </c>
      <c r="I106" s="8">
        <f t="shared" si="15"/>
        <v>48.629999999999995</v>
      </c>
      <c r="J106" s="8">
        <f t="shared" si="15"/>
        <v>1.5933333333333333</v>
      </c>
      <c r="K106" s="8">
        <f t="shared" si="15"/>
        <v>1.9049999999999998</v>
      </c>
      <c r="L106" s="282"/>
    </row>
    <row r="107" spans="1:12" ht="15.75">
      <c r="A107" s="64" t="s">
        <v>53</v>
      </c>
      <c r="B107" s="1"/>
      <c r="C107" s="121"/>
      <c r="D107" s="5"/>
      <c r="E107" s="5"/>
      <c r="F107" s="5"/>
      <c r="G107" s="339"/>
      <c r="H107" s="5"/>
      <c r="I107" s="5"/>
      <c r="J107" s="5"/>
      <c r="K107" s="5"/>
      <c r="L107" s="282"/>
    </row>
    <row r="108" spans="1:12" ht="15.75">
      <c r="A108" s="64"/>
      <c r="B108" s="231" t="s">
        <v>382</v>
      </c>
      <c r="C108" s="122" t="s">
        <v>392</v>
      </c>
      <c r="D108" s="10">
        <v>0.62</v>
      </c>
      <c r="E108" s="10">
        <v>0.52</v>
      </c>
      <c r="F108" s="10">
        <v>16.04</v>
      </c>
      <c r="G108" s="124">
        <v>72</v>
      </c>
      <c r="H108" s="10">
        <v>28</v>
      </c>
      <c r="I108" s="10">
        <v>16.8</v>
      </c>
      <c r="J108" s="10">
        <v>3.56</v>
      </c>
      <c r="K108" s="10">
        <v>12</v>
      </c>
      <c r="L108" s="281" t="s">
        <v>88</v>
      </c>
    </row>
    <row r="109" spans="1:12" ht="15.75">
      <c r="A109" s="64"/>
      <c r="B109" s="46"/>
      <c r="C109" s="250">
        <v>160</v>
      </c>
      <c r="D109" s="206">
        <f>SUM(D108)</f>
        <v>0.62</v>
      </c>
      <c r="E109" s="206">
        <f aca="true" t="shared" si="16" ref="E109:K109">SUM(E108)</f>
        <v>0.52</v>
      </c>
      <c r="F109" s="206">
        <f t="shared" si="16"/>
        <v>16.04</v>
      </c>
      <c r="G109" s="9">
        <f t="shared" si="16"/>
        <v>72</v>
      </c>
      <c r="H109" s="206">
        <f t="shared" si="16"/>
        <v>28</v>
      </c>
      <c r="I109" s="206">
        <f t="shared" si="16"/>
        <v>16.8</v>
      </c>
      <c r="J109" s="206">
        <f t="shared" si="16"/>
        <v>3.56</v>
      </c>
      <c r="K109" s="206">
        <f t="shared" si="16"/>
        <v>12</v>
      </c>
      <c r="L109" s="281"/>
    </row>
    <row r="110" spans="1:12" ht="15.75">
      <c r="A110" s="65" t="s">
        <v>54</v>
      </c>
      <c r="B110" s="41"/>
      <c r="C110" s="121"/>
      <c r="D110" s="5"/>
      <c r="E110" s="5"/>
      <c r="F110" s="5"/>
      <c r="G110" s="339"/>
      <c r="H110" s="5"/>
      <c r="I110" s="5"/>
      <c r="J110" s="5"/>
      <c r="K110" s="5"/>
      <c r="L110" s="282"/>
    </row>
    <row r="111" spans="1:12" ht="15.75">
      <c r="A111" s="40"/>
      <c r="B111" s="228" t="s">
        <v>557</v>
      </c>
      <c r="C111" s="442" t="s">
        <v>568</v>
      </c>
      <c r="D111" s="26">
        <v>0.64</v>
      </c>
      <c r="E111" s="26">
        <v>2.4</v>
      </c>
      <c r="F111" s="26">
        <v>2.4</v>
      </c>
      <c r="G111" s="74">
        <v>35.52</v>
      </c>
      <c r="H111" s="26">
        <v>16.133333333333336</v>
      </c>
      <c r="I111" s="26">
        <v>6.666666666666668</v>
      </c>
      <c r="J111" s="26">
        <v>0.26666666666666666</v>
      </c>
      <c r="K111" s="26">
        <v>20.133333333333336</v>
      </c>
      <c r="L111" s="283" t="s">
        <v>390</v>
      </c>
    </row>
    <row r="112" spans="1:12" ht="15.75">
      <c r="A112" s="4"/>
      <c r="B112" s="262" t="s">
        <v>527</v>
      </c>
      <c r="C112" s="475" t="s">
        <v>572</v>
      </c>
      <c r="D112" s="22">
        <v>6.291333333333333</v>
      </c>
      <c r="E112" s="22">
        <v>4.9</v>
      </c>
      <c r="F112" s="22">
        <v>6.825333333333334</v>
      </c>
      <c r="G112" s="401">
        <v>98</v>
      </c>
      <c r="H112" s="22">
        <v>44.416666666666664</v>
      </c>
      <c r="I112" s="22">
        <v>29.65</v>
      </c>
      <c r="J112" s="22">
        <v>1.4533333333333334</v>
      </c>
      <c r="K112" s="22">
        <v>7.566666666666666</v>
      </c>
      <c r="L112" s="283" t="s">
        <v>384</v>
      </c>
    </row>
    <row r="113" spans="1:12" ht="15.75">
      <c r="A113" s="4"/>
      <c r="B113" s="262" t="s">
        <v>330</v>
      </c>
      <c r="C113" s="272">
        <v>55</v>
      </c>
      <c r="D113" s="22">
        <v>10.2</v>
      </c>
      <c r="E113" s="22">
        <v>5.1</v>
      </c>
      <c r="F113" s="22">
        <v>1.8</v>
      </c>
      <c r="G113" s="401">
        <v>94</v>
      </c>
      <c r="H113" s="39">
        <v>21.6</v>
      </c>
      <c r="I113" s="39">
        <v>11.4</v>
      </c>
      <c r="J113" s="39">
        <v>0.7</v>
      </c>
      <c r="K113" s="22">
        <v>0</v>
      </c>
      <c r="L113" s="287" t="s">
        <v>331</v>
      </c>
    </row>
    <row r="114" spans="1:12" ht="15.75">
      <c r="A114" s="4"/>
      <c r="B114" s="231" t="s">
        <v>60</v>
      </c>
      <c r="C114" s="398">
        <v>120</v>
      </c>
      <c r="D114" s="69">
        <v>2.290909090909091</v>
      </c>
      <c r="E114" s="69">
        <v>3.709090909090909</v>
      </c>
      <c r="F114" s="69">
        <v>14.4</v>
      </c>
      <c r="G114" s="493">
        <v>100</v>
      </c>
      <c r="H114" s="69">
        <v>30</v>
      </c>
      <c r="I114" s="69">
        <v>25.963636363636365</v>
      </c>
      <c r="J114" s="69">
        <v>0.7636363636363637</v>
      </c>
      <c r="K114" s="69">
        <v>12.545454545454545</v>
      </c>
      <c r="L114" s="288" t="s">
        <v>93</v>
      </c>
    </row>
    <row r="115" spans="1:12" ht="15.75">
      <c r="A115" s="4"/>
      <c r="B115" s="228" t="s">
        <v>96</v>
      </c>
      <c r="C115" s="398">
        <v>180</v>
      </c>
      <c r="D115" s="22">
        <v>0.05</v>
      </c>
      <c r="E115" s="22">
        <v>0.05399999999999999</v>
      </c>
      <c r="F115" s="22">
        <v>19.1</v>
      </c>
      <c r="G115" s="401">
        <v>78.5</v>
      </c>
      <c r="H115" s="22">
        <v>0.99</v>
      </c>
      <c r="I115" s="22">
        <v>14.13</v>
      </c>
      <c r="J115" s="22">
        <v>3</v>
      </c>
      <c r="K115" s="22">
        <v>0.33</v>
      </c>
      <c r="L115" s="279" t="s">
        <v>465</v>
      </c>
    </row>
    <row r="116" spans="1:15" ht="15.75">
      <c r="A116" s="4"/>
      <c r="B116" s="192" t="s">
        <v>37</v>
      </c>
      <c r="C116" s="28">
        <v>18</v>
      </c>
      <c r="D116" s="22">
        <v>1.4</v>
      </c>
      <c r="E116" s="22">
        <v>0.2</v>
      </c>
      <c r="F116" s="22">
        <v>8.9</v>
      </c>
      <c r="G116" s="401">
        <v>43</v>
      </c>
      <c r="H116" s="22">
        <v>4.2</v>
      </c>
      <c r="I116" s="22">
        <v>6</v>
      </c>
      <c r="J116" s="22">
        <v>0.4</v>
      </c>
      <c r="K116" s="22">
        <v>0</v>
      </c>
      <c r="L116" s="280" t="s">
        <v>21</v>
      </c>
      <c r="M116" s="328"/>
      <c r="N116" s="328"/>
      <c r="O116" s="328"/>
    </row>
    <row r="117" spans="1:14" ht="15.75">
      <c r="A117" s="4"/>
      <c r="B117" s="192" t="s">
        <v>38</v>
      </c>
      <c r="C117" s="386">
        <v>19</v>
      </c>
      <c r="D117" s="93">
        <v>1.035467128027682</v>
      </c>
      <c r="E117" s="93">
        <v>0.18826675055048758</v>
      </c>
      <c r="F117" s="93">
        <v>6.589336269267065</v>
      </c>
      <c r="G117" s="490">
        <v>37</v>
      </c>
      <c r="H117" s="93">
        <v>5.648002516514627</v>
      </c>
      <c r="I117" s="93">
        <v>7.530670022019503</v>
      </c>
      <c r="J117" s="93">
        <v>0.6589336269267065</v>
      </c>
      <c r="K117" s="93">
        <v>0</v>
      </c>
      <c r="L117" s="280" t="s">
        <v>22</v>
      </c>
      <c r="M117" s="328"/>
      <c r="N117" s="328"/>
    </row>
    <row r="118" spans="1:12" ht="15.75">
      <c r="A118" s="45" t="s">
        <v>27</v>
      </c>
      <c r="B118" s="47"/>
      <c r="C118" s="9">
        <v>608</v>
      </c>
      <c r="D118" s="8">
        <f aca="true" t="shared" si="17" ref="D118:K118">SUM(D111:D117)</f>
        <v>21.907709552270102</v>
      </c>
      <c r="E118" s="8">
        <f t="shared" si="17"/>
        <v>16.551357659641393</v>
      </c>
      <c r="F118" s="8">
        <f t="shared" si="17"/>
        <v>60.0146696026004</v>
      </c>
      <c r="G118" s="9">
        <f>SUM(G111:G117)</f>
        <v>486.02</v>
      </c>
      <c r="H118" s="8">
        <f t="shared" si="17"/>
        <v>122.98800251651463</v>
      </c>
      <c r="I118" s="8">
        <f t="shared" si="17"/>
        <v>101.34097305232252</v>
      </c>
      <c r="J118" s="8">
        <f t="shared" si="17"/>
        <v>7.24256999056307</v>
      </c>
      <c r="K118" s="8">
        <f t="shared" si="17"/>
        <v>40.57545454545455</v>
      </c>
      <c r="L118" s="305"/>
    </row>
    <row r="119" spans="1:12" ht="15.75">
      <c r="A119" s="45" t="s">
        <v>55</v>
      </c>
      <c r="B119" s="53"/>
      <c r="C119" s="124"/>
      <c r="D119" s="3"/>
      <c r="E119" s="3"/>
      <c r="F119" s="3"/>
      <c r="G119" s="491"/>
      <c r="H119" s="3"/>
      <c r="I119" s="3"/>
      <c r="J119" s="3"/>
      <c r="K119" s="3"/>
      <c r="L119" s="305"/>
    </row>
    <row r="120" spans="1:12" ht="15.75">
      <c r="A120" s="4"/>
      <c r="B120" s="228" t="s">
        <v>344</v>
      </c>
      <c r="C120" s="442" t="s">
        <v>568</v>
      </c>
      <c r="D120" s="39">
        <v>0.48</v>
      </c>
      <c r="E120" s="39">
        <v>2.48</v>
      </c>
      <c r="F120" s="39">
        <v>1.92</v>
      </c>
      <c r="G120" s="74">
        <v>32.4</v>
      </c>
      <c r="H120" s="24">
        <v>7.04</v>
      </c>
      <c r="I120" s="24">
        <v>7.12</v>
      </c>
      <c r="J120" s="24">
        <v>0.32</v>
      </c>
      <c r="K120" s="39">
        <v>8.16</v>
      </c>
      <c r="L120" s="283" t="s">
        <v>326</v>
      </c>
    </row>
    <row r="121" spans="1:12" ht="15.75">
      <c r="A121" s="4"/>
      <c r="B121" s="227" t="s">
        <v>332</v>
      </c>
      <c r="C121" s="83">
        <v>60</v>
      </c>
      <c r="D121" s="69">
        <v>9.179</v>
      </c>
      <c r="E121" s="69">
        <v>2.3129999999999997</v>
      </c>
      <c r="F121" s="69">
        <v>6.062</v>
      </c>
      <c r="G121" s="493">
        <v>82.4</v>
      </c>
      <c r="H121" s="22">
        <v>38.3</v>
      </c>
      <c r="I121" s="22">
        <v>30.9</v>
      </c>
      <c r="J121" s="22">
        <v>0.5</v>
      </c>
      <c r="K121" s="69">
        <v>0.332</v>
      </c>
      <c r="L121" s="288" t="s">
        <v>333</v>
      </c>
    </row>
    <row r="122" spans="1:12" ht="15.75">
      <c r="A122" s="4"/>
      <c r="B122" s="231" t="s">
        <v>40</v>
      </c>
      <c r="C122" s="272">
        <v>120</v>
      </c>
      <c r="D122" s="105">
        <v>3.66</v>
      </c>
      <c r="E122" s="105">
        <v>4.01</v>
      </c>
      <c r="F122" s="105">
        <v>16.42</v>
      </c>
      <c r="G122" s="495">
        <v>116.4</v>
      </c>
      <c r="H122" s="105">
        <v>6.76</v>
      </c>
      <c r="I122" s="105">
        <v>57.6</v>
      </c>
      <c r="J122" s="105">
        <v>1.9</v>
      </c>
      <c r="K122" s="105">
        <v>0</v>
      </c>
      <c r="L122" s="306" t="s">
        <v>41</v>
      </c>
    </row>
    <row r="123" spans="1:12" ht="15.75">
      <c r="A123" s="13"/>
      <c r="B123" s="234" t="s">
        <v>334</v>
      </c>
      <c r="C123" s="74">
        <v>30</v>
      </c>
      <c r="D123" s="39">
        <v>0.54</v>
      </c>
      <c r="E123" s="39">
        <v>1.6</v>
      </c>
      <c r="F123" s="39">
        <v>2.12</v>
      </c>
      <c r="G123" s="74">
        <v>24.4</v>
      </c>
      <c r="H123" s="39">
        <v>8.7</v>
      </c>
      <c r="I123" s="39">
        <v>2.9</v>
      </c>
      <c r="J123" s="39">
        <v>0.1</v>
      </c>
      <c r="K123" s="39">
        <v>0.4</v>
      </c>
      <c r="L123" s="289" t="s">
        <v>335</v>
      </c>
    </row>
    <row r="124" spans="1:12" ht="15.75">
      <c r="A124" s="45"/>
      <c r="B124" s="223" t="s">
        <v>336</v>
      </c>
      <c r="C124" s="384">
        <v>180</v>
      </c>
      <c r="D124" s="36">
        <v>0.06</v>
      </c>
      <c r="E124" s="36">
        <v>0.02</v>
      </c>
      <c r="F124" s="36">
        <v>7</v>
      </c>
      <c r="G124" s="493">
        <v>28</v>
      </c>
      <c r="H124" s="36">
        <v>10</v>
      </c>
      <c r="I124" s="36">
        <v>1.3</v>
      </c>
      <c r="J124" s="36">
        <v>0.3</v>
      </c>
      <c r="K124" s="36">
        <v>0.03</v>
      </c>
      <c r="L124" s="288" t="s">
        <v>8</v>
      </c>
    </row>
    <row r="125" spans="1:12" ht="15.75">
      <c r="A125" s="45"/>
      <c r="B125" s="226" t="s">
        <v>368</v>
      </c>
      <c r="C125" s="100">
        <v>22</v>
      </c>
      <c r="D125" s="25">
        <v>1.65</v>
      </c>
      <c r="E125" s="25">
        <v>2.1559999999999997</v>
      </c>
      <c r="F125" s="25">
        <v>16.368000000000002</v>
      </c>
      <c r="G125" s="505">
        <v>93.5</v>
      </c>
      <c r="H125" s="25">
        <v>6.379999999999999</v>
      </c>
      <c r="I125" s="25">
        <v>4.4</v>
      </c>
      <c r="J125" s="25">
        <v>0.44000000000000006</v>
      </c>
      <c r="K125" s="25">
        <v>0</v>
      </c>
      <c r="L125" s="302" t="s">
        <v>3</v>
      </c>
    </row>
    <row r="126" spans="1:12" ht="15.75">
      <c r="A126" s="55"/>
      <c r="B126" s="192" t="s">
        <v>38</v>
      </c>
      <c r="C126" s="28">
        <v>18</v>
      </c>
      <c r="D126" s="22">
        <v>1.164705882352941</v>
      </c>
      <c r="E126" s="22">
        <v>0.21176470588235297</v>
      </c>
      <c r="F126" s="22">
        <v>7.411764705882353</v>
      </c>
      <c r="G126" s="497">
        <v>38.8</v>
      </c>
      <c r="H126" s="22">
        <v>6.352941176470589</v>
      </c>
      <c r="I126" s="22">
        <v>8.470588235294118</v>
      </c>
      <c r="J126" s="22">
        <v>0.7411764705882352</v>
      </c>
      <c r="K126" s="22">
        <v>0</v>
      </c>
      <c r="L126" s="280" t="s">
        <v>22</v>
      </c>
    </row>
    <row r="127" spans="1:12" ht="15.75">
      <c r="A127" s="45" t="s">
        <v>56</v>
      </c>
      <c r="B127" s="382"/>
      <c r="C127" s="9">
        <v>473</v>
      </c>
      <c r="D127" s="8">
        <f aca="true" t="shared" si="18" ref="D127:K127">SUM(D120:D126)</f>
        <v>16.733705882352943</v>
      </c>
      <c r="E127" s="8">
        <f t="shared" si="18"/>
        <v>12.79076470588235</v>
      </c>
      <c r="F127" s="8">
        <f t="shared" si="18"/>
        <v>57.30176470588236</v>
      </c>
      <c r="G127" s="9">
        <f t="shared" si="18"/>
        <v>415.90000000000003</v>
      </c>
      <c r="H127" s="8">
        <f t="shared" si="18"/>
        <v>83.53294117647059</v>
      </c>
      <c r="I127" s="8">
        <f t="shared" si="18"/>
        <v>112.69058823529413</v>
      </c>
      <c r="J127" s="8">
        <f t="shared" si="18"/>
        <v>4.301176470588235</v>
      </c>
      <c r="K127" s="8">
        <f t="shared" si="18"/>
        <v>8.922</v>
      </c>
      <c r="L127" s="305"/>
    </row>
    <row r="128" spans="1:12" ht="15.75">
      <c r="A128" s="55" t="s">
        <v>61</v>
      </c>
      <c r="B128" s="47"/>
      <c r="C128" s="9"/>
      <c r="D128" s="8">
        <f aca="true" t="shared" si="19" ref="D128:K128">SUM(D106,D109,D118,D127)</f>
        <v>48.08308210128971</v>
      </c>
      <c r="E128" s="8">
        <f t="shared" si="19"/>
        <v>41.14823347663486</v>
      </c>
      <c r="F128" s="8">
        <f t="shared" si="19"/>
        <v>168.58643430848275</v>
      </c>
      <c r="G128" s="9">
        <f t="shared" si="19"/>
        <v>1260.32</v>
      </c>
      <c r="H128" s="8">
        <f t="shared" si="19"/>
        <v>540.8720548040963</v>
      </c>
      <c r="I128" s="8">
        <f t="shared" si="19"/>
        <v>279.46156128761663</v>
      </c>
      <c r="J128" s="8">
        <f t="shared" si="19"/>
        <v>16.697079794484637</v>
      </c>
      <c r="K128" s="8">
        <f t="shared" si="19"/>
        <v>63.402454545454546</v>
      </c>
      <c r="L128" s="305"/>
    </row>
    <row r="129" spans="1:12" ht="15.75">
      <c r="A129" s="4"/>
      <c r="B129" s="583"/>
      <c r="C129" s="584"/>
      <c r="D129" s="584"/>
      <c r="E129" s="584"/>
      <c r="F129" s="584"/>
      <c r="G129" s="584"/>
      <c r="H129" s="584"/>
      <c r="I129" s="584"/>
      <c r="J129" s="584"/>
      <c r="K129" s="585"/>
      <c r="L129" s="282"/>
    </row>
    <row r="130" spans="1:12" ht="15.75">
      <c r="A130" s="4"/>
      <c r="B130" s="588" t="s">
        <v>74</v>
      </c>
      <c r="C130" s="588"/>
      <c r="D130" s="588"/>
      <c r="E130" s="588"/>
      <c r="F130" s="588"/>
      <c r="G130" s="588"/>
      <c r="H130" s="588"/>
      <c r="I130" s="588"/>
      <c r="J130" s="588"/>
      <c r="K130" s="588"/>
      <c r="L130" s="282"/>
    </row>
    <row r="131" spans="1:13" ht="15.75">
      <c r="A131" s="40" t="s">
        <v>52</v>
      </c>
      <c r="B131" s="41"/>
      <c r="C131" s="121"/>
      <c r="D131" s="12"/>
      <c r="E131" s="12"/>
      <c r="F131" s="12"/>
      <c r="G131" s="121"/>
      <c r="H131" s="12"/>
      <c r="I131" s="12"/>
      <c r="J131" s="12"/>
      <c r="K131" s="12"/>
      <c r="L131" s="282"/>
      <c r="M131" s="203"/>
    </row>
    <row r="132" spans="1:12" ht="15.75">
      <c r="A132" s="58"/>
      <c r="B132" s="42" t="s">
        <v>103</v>
      </c>
      <c r="C132" s="121">
        <v>10</v>
      </c>
      <c r="D132" s="4">
        <v>0.04</v>
      </c>
      <c r="E132" s="4">
        <v>0</v>
      </c>
      <c r="F132" s="4">
        <v>6.5</v>
      </c>
      <c r="G132" s="121">
        <v>25</v>
      </c>
      <c r="H132" s="4">
        <v>1.4</v>
      </c>
      <c r="I132" s="4">
        <v>0.7</v>
      </c>
      <c r="J132" s="4">
        <v>0.13</v>
      </c>
      <c r="K132" s="4">
        <v>0.05</v>
      </c>
      <c r="L132" s="277" t="s">
        <v>3</v>
      </c>
    </row>
    <row r="133" spans="1:12" ht="15.75">
      <c r="A133" s="202"/>
      <c r="B133" s="199" t="s">
        <v>538</v>
      </c>
      <c r="C133" s="486" t="s">
        <v>578</v>
      </c>
      <c r="D133" s="201">
        <v>6.849166666666668</v>
      </c>
      <c r="E133" s="201">
        <v>19.364999999999995</v>
      </c>
      <c r="F133" s="201">
        <v>7.493333333333334</v>
      </c>
      <c r="G133" s="506">
        <v>158.2</v>
      </c>
      <c r="H133" s="201">
        <v>68.71666666666665</v>
      </c>
      <c r="I133" s="201">
        <v>15.788333333333334</v>
      </c>
      <c r="J133" s="201">
        <v>1.8116666666666665</v>
      </c>
      <c r="K133" s="201">
        <v>1.9433333333333336</v>
      </c>
      <c r="L133" s="307" t="s">
        <v>539</v>
      </c>
    </row>
    <row r="134" spans="1:12" ht="15.75">
      <c r="A134" s="4"/>
      <c r="B134" s="230" t="s">
        <v>82</v>
      </c>
      <c r="C134" s="399">
        <v>180</v>
      </c>
      <c r="D134" s="68">
        <v>0.18</v>
      </c>
      <c r="E134" s="68">
        <v>0.09</v>
      </c>
      <c r="F134" s="116">
        <v>6.660000000000001</v>
      </c>
      <c r="G134" s="467">
        <v>31</v>
      </c>
      <c r="H134" s="116">
        <v>3.6899999999999995</v>
      </c>
      <c r="I134" s="116">
        <v>1.08</v>
      </c>
      <c r="J134" s="116">
        <v>0.18</v>
      </c>
      <c r="K134" s="116">
        <v>45.09</v>
      </c>
      <c r="L134" s="295" t="s">
        <v>466</v>
      </c>
    </row>
    <row r="135" spans="1:12" ht="15.75">
      <c r="A135" s="4"/>
      <c r="B135" s="46" t="s">
        <v>36</v>
      </c>
      <c r="C135" s="123">
        <v>25</v>
      </c>
      <c r="D135" s="127">
        <v>1.9</v>
      </c>
      <c r="E135" s="127">
        <v>0.8</v>
      </c>
      <c r="F135" s="127">
        <v>12.8</v>
      </c>
      <c r="G135" s="123">
        <v>66</v>
      </c>
      <c r="H135" s="127">
        <v>8.8</v>
      </c>
      <c r="I135" s="127">
        <v>11.8</v>
      </c>
      <c r="J135" s="127">
        <v>1</v>
      </c>
      <c r="K135" s="127">
        <v>0</v>
      </c>
      <c r="L135" s="281" t="s">
        <v>7</v>
      </c>
    </row>
    <row r="136" spans="1:12" ht="15.75">
      <c r="A136" s="40" t="s">
        <v>23</v>
      </c>
      <c r="B136" s="47"/>
      <c r="C136" s="466">
        <v>365</v>
      </c>
      <c r="D136" s="52">
        <f aca="true" t="shared" si="20" ref="D136:K136">SUM(D132:D135)</f>
        <v>8.969166666666668</v>
      </c>
      <c r="E136" s="52">
        <f t="shared" si="20"/>
        <v>20.254999999999995</v>
      </c>
      <c r="F136" s="52">
        <f t="shared" si="20"/>
        <v>33.45333333333333</v>
      </c>
      <c r="G136" s="466">
        <f t="shared" si="20"/>
        <v>280.2</v>
      </c>
      <c r="H136" s="52">
        <f t="shared" si="20"/>
        <v>82.60666666666665</v>
      </c>
      <c r="I136" s="52">
        <f t="shared" si="20"/>
        <v>29.368333333333336</v>
      </c>
      <c r="J136" s="52">
        <f t="shared" si="20"/>
        <v>3.1216666666666666</v>
      </c>
      <c r="K136" s="52">
        <f t="shared" si="20"/>
        <v>47.083333333333336</v>
      </c>
      <c r="L136" s="282"/>
    </row>
    <row r="137" spans="1:12" ht="15.75">
      <c r="A137" s="58" t="s">
        <v>53</v>
      </c>
      <c r="B137" s="53"/>
      <c r="C137" s="121"/>
      <c r="D137" s="5"/>
      <c r="E137" s="5"/>
      <c r="F137" s="5"/>
      <c r="G137" s="339"/>
      <c r="H137" s="5"/>
      <c r="I137" s="5"/>
      <c r="J137" s="5"/>
      <c r="K137" s="5"/>
      <c r="L137" s="282"/>
    </row>
    <row r="138" spans="1:12" ht="15.75">
      <c r="A138" s="58"/>
      <c r="B138" s="235" t="s">
        <v>78</v>
      </c>
      <c r="C138" s="402">
        <v>150</v>
      </c>
      <c r="D138" s="198">
        <v>0.75</v>
      </c>
      <c r="E138" s="198">
        <v>0</v>
      </c>
      <c r="F138" s="198">
        <v>15.1875</v>
      </c>
      <c r="G138" s="507">
        <v>67.5</v>
      </c>
      <c r="H138" s="105">
        <v>10.5</v>
      </c>
      <c r="I138" s="105">
        <v>6</v>
      </c>
      <c r="J138" s="105">
        <v>2.0625</v>
      </c>
      <c r="K138" s="105">
        <v>3</v>
      </c>
      <c r="L138" s="308" t="s">
        <v>13</v>
      </c>
    </row>
    <row r="139" spans="1:12" ht="15.75">
      <c r="A139" s="58"/>
      <c r="B139" s="42"/>
      <c r="C139" s="9">
        <f>SUM(C138)</f>
        <v>150</v>
      </c>
      <c r="D139" s="8">
        <f>SUM(D138)</f>
        <v>0.75</v>
      </c>
      <c r="E139" s="8">
        <f aca="true" t="shared" si="21" ref="E139:K139">SUM(E138)</f>
        <v>0</v>
      </c>
      <c r="F139" s="8">
        <f t="shared" si="21"/>
        <v>15.1875</v>
      </c>
      <c r="G139" s="9">
        <f t="shared" si="21"/>
        <v>67.5</v>
      </c>
      <c r="H139" s="8">
        <f t="shared" si="21"/>
        <v>10.5</v>
      </c>
      <c r="I139" s="8">
        <f t="shared" si="21"/>
        <v>6</v>
      </c>
      <c r="J139" s="8">
        <f t="shared" si="21"/>
        <v>2.0625</v>
      </c>
      <c r="K139" s="8">
        <f t="shared" si="21"/>
        <v>3</v>
      </c>
      <c r="L139" s="281"/>
    </row>
    <row r="140" spans="1:12" ht="15.75">
      <c r="A140" s="65" t="s">
        <v>54</v>
      </c>
      <c r="B140" s="53"/>
      <c r="C140" s="121"/>
      <c r="D140" s="5"/>
      <c r="E140" s="5"/>
      <c r="F140" s="5"/>
      <c r="G140" s="339"/>
      <c r="H140" s="5"/>
      <c r="I140" s="5"/>
      <c r="J140" s="5"/>
      <c r="K140" s="5"/>
      <c r="L140" s="282"/>
    </row>
    <row r="141" spans="1:12" ht="15.75">
      <c r="A141" s="40"/>
      <c r="B141" s="221" t="s">
        <v>374</v>
      </c>
      <c r="C141" s="28">
        <v>40</v>
      </c>
      <c r="D141" s="39">
        <v>0.44</v>
      </c>
      <c r="E141" s="39">
        <v>0</v>
      </c>
      <c r="F141" s="39">
        <v>2</v>
      </c>
      <c r="G141" s="74">
        <v>6.4</v>
      </c>
      <c r="H141" s="24">
        <v>5.6</v>
      </c>
      <c r="I141" s="24">
        <v>8</v>
      </c>
      <c r="J141" s="24">
        <v>0.4</v>
      </c>
      <c r="K141" s="39">
        <v>10</v>
      </c>
      <c r="L141" s="283" t="s">
        <v>142</v>
      </c>
    </row>
    <row r="142" spans="1:12" ht="15.75">
      <c r="A142" s="40"/>
      <c r="B142" s="228" t="s">
        <v>481</v>
      </c>
      <c r="C142" s="272" t="s">
        <v>492</v>
      </c>
      <c r="D142" s="22">
        <v>7.162</v>
      </c>
      <c r="E142" s="22">
        <v>2.802</v>
      </c>
      <c r="F142" s="22">
        <v>10.416</v>
      </c>
      <c r="G142" s="401">
        <v>97.3</v>
      </c>
      <c r="H142" s="39">
        <v>19.880000000000003</v>
      </c>
      <c r="I142" s="39">
        <v>25.188000000000002</v>
      </c>
      <c r="J142" s="39">
        <v>1.096</v>
      </c>
      <c r="K142" s="22">
        <v>6.19</v>
      </c>
      <c r="L142" s="287" t="s">
        <v>544</v>
      </c>
    </row>
    <row r="143" spans="1:12" ht="15.75">
      <c r="A143" s="4"/>
      <c r="B143" s="220" t="s">
        <v>109</v>
      </c>
      <c r="C143" s="83">
        <v>60</v>
      </c>
      <c r="D143" s="69">
        <v>11.6</v>
      </c>
      <c r="E143" s="69">
        <v>4</v>
      </c>
      <c r="F143" s="69">
        <v>4.2</v>
      </c>
      <c r="G143" s="493">
        <v>99.2</v>
      </c>
      <c r="H143" s="69">
        <v>22.1</v>
      </c>
      <c r="I143" s="69">
        <v>11.7</v>
      </c>
      <c r="J143" s="69">
        <v>3.8</v>
      </c>
      <c r="K143" s="69">
        <v>8.7</v>
      </c>
      <c r="L143" s="288" t="s">
        <v>110</v>
      </c>
    </row>
    <row r="144" spans="1:14" ht="15.75">
      <c r="A144" s="4"/>
      <c r="B144" s="236" t="s">
        <v>479</v>
      </c>
      <c r="C144" s="442">
        <v>110</v>
      </c>
      <c r="D144" s="26">
        <v>2.05</v>
      </c>
      <c r="E144" s="26">
        <v>3.3</v>
      </c>
      <c r="F144" s="26">
        <v>21.3</v>
      </c>
      <c r="G144" s="74">
        <v>123.2</v>
      </c>
      <c r="H144" s="39">
        <v>3.3</v>
      </c>
      <c r="I144" s="39">
        <v>14.4</v>
      </c>
      <c r="J144" s="39">
        <v>0.3</v>
      </c>
      <c r="K144" s="26">
        <v>0</v>
      </c>
      <c r="L144" s="223" t="s">
        <v>41</v>
      </c>
      <c r="M144" s="328"/>
      <c r="N144" s="328"/>
    </row>
    <row r="145" spans="1:12" ht="15.75">
      <c r="A145" s="4"/>
      <c r="B145" s="220" t="s">
        <v>505</v>
      </c>
      <c r="C145" s="85">
        <v>180</v>
      </c>
      <c r="D145" s="22">
        <v>0.1</v>
      </c>
      <c r="E145" s="22">
        <v>0.2</v>
      </c>
      <c r="F145" s="22">
        <v>12.5</v>
      </c>
      <c r="G145" s="401">
        <v>53.2</v>
      </c>
      <c r="H145" s="22">
        <v>6.2</v>
      </c>
      <c r="I145" s="22">
        <v>3.2</v>
      </c>
      <c r="J145" s="22">
        <v>0.8</v>
      </c>
      <c r="K145" s="22">
        <v>3.6</v>
      </c>
      <c r="L145" s="279" t="s">
        <v>467</v>
      </c>
    </row>
    <row r="146" spans="1:12" ht="15.75">
      <c r="A146" s="4"/>
      <c r="B146" s="192" t="s">
        <v>37</v>
      </c>
      <c r="C146" s="386">
        <v>19</v>
      </c>
      <c r="D146" s="93">
        <f>D154*19/10</f>
        <v>1.52</v>
      </c>
      <c r="E146" s="93">
        <f aca="true" t="shared" si="22" ref="E146:K146">E154*19/10</f>
        <v>0.38</v>
      </c>
      <c r="F146" s="93">
        <f t="shared" si="22"/>
        <v>9.31</v>
      </c>
      <c r="G146" s="490">
        <v>46</v>
      </c>
      <c r="H146" s="93">
        <f t="shared" si="22"/>
        <v>4.369999999999999</v>
      </c>
      <c r="I146" s="93">
        <f t="shared" si="22"/>
        <v>6.27</v>
      </c>
      <c r="J146" s="93">
        <f t="shared" si="22"/>
        <v>0.5700000000000001</v>
      </c>
      <c r="K146" s="93">
        <f t="shared" si="22"/>
        <v>0</v>
      </c>
      <c r="L146" s="280" t="s">
        <v>21</v>
      </c>
    </row>
    <row r="147" spans="1:12" ht="15.75">
      <c r="A147" s="4"/>
      <c r="B147" s="192" t="s">
        <v>38</v>
      </c>
      <c r="C147" s="28">
        <v>30</v>
      </c>
      <c r="D147" s="22">
        <v>2.176</v>
      </c>
      <c r="E147" s="22">
        <v>0.41600000000000004</v>
      </c>
      <c r="F147" s="22">
        <v>12.735999999999999</v>
      </c>
      <c r="G147" s="401">
        <v>64</v>
      </c>
      <c r="H147" s="22">
        <v>15.04</v>
      </c>
      <c r="I147" s="22">
        <v>15.68</v>
      </c>
      <c r="J147" s="22">
        <v>1.248</v>
      </c>
      <c r="K147" s="22">
        <v>0</v>
      </c>
      <c r="L147" s="280" t="s">
        <v>22</v>
      </c>
    </row>
    <row r="148" spans="1:12" ht="15.75">
      <c r="A148" s="47" t="s">
        <v>27</v>
      </c>
      <c r="B148" s="47"/>
      <c r="C148" s="9">
        <v>640</v>
      </c>
      <c r="D148" s="52">
        <f aca="true" t="shared" si="23" ref="D148:K148">SUM(D141:D147)</f>
        <v>25.048000000000002</v>
      </c>
      <c r="E148" s="52">
        <f t="shared" si="23"/>
        <v>11.098</v>
      </c>
      <c r="F148" s="52">
        <f t="shared" si="23"/>
        <v>72.462</v>
      </c>
      <c r="G148" s="466">
        <f t="shared" si="23"/>
        <v>489.3</v>
      </c>
      <c r="H148" s="52">
        <f t="shared" si="23"/>
        <v>76.49000000000001</v>
      </c>
      <c r="I148" s="52">
        <f t="shared" si="23"/>
        <v>84.43800000000002</v>
      </c>
      <c r="J148" s="52">
        <f t="shared" si="23"/>
        <v>8.213999999999999</v>
      </c>
      <c r="K148" s="52">
        <f t="shared" si="23"/>
        <v>28.490000000000002</v>
      </c>
      <c r="L148" s="305"/>
    </row>
    <row r="149" spans="1:12" ht="15.75">
      <c r="A149" s="45" t="s">
        <v>55</v>
      </c>
      <c r="B149" s="53"/>
      <c r="C149" s="124"/>
      <c r="D149" s="3"/>
      <c r="E149" s="3"/>
      <c r="F149" s="3"/>
      <c r="G149" s="491"/>
      <c r="H149" s="3"/>
      <c r="I149" s="3"/>
      <c r="J149" s="3"/>
      <c r="K149" s="3"/>
      <c r="L149" s="305"/>
    </row>
    <row r="150" spans="1:12" ht="15.75">
      <c r="A150" s="45"/>
      <c r="B150" s="221" t="s">
        <v>339</v>
      </c>
      <c r="C150" s="28">
        <v>40</v>
      </c>
      <c r="D150" s="39">
        <v>0.56</v>
      </c>
      <c r="E150" s="39">
        <v>2.08</v>
      </c>
      <c r="F150" s="39">
        <v>3.52</v>
      </c>
      <c r="G150" s="74">
        <v>35.2</v>
      </c>
      <c r="H150" s="24">
        <v>7.36</v>
      </c>
      <c r="I150" s="24">
        <v>6.72</v>
      </c>
      <c r="J150" s="24">
        <v>0.4133333333333332</v>
      </c>
      <c r="K150" s="39">
        <v>5.6</v>
      </c>
      <c r="L150" s="287" t="s">
        <v>340</v>
      </c>
    </row>
    <row r="151" spans="1:12" ht="15.75">
      <c r="A151" s="45"/>
      <c r="B151" s="444" t="s">
        <v>482</v>
      </c>
      <c r="C151" s="445" t="s">
        <v>561</v>
      </c>
      <c r="D151" s="38">
        <v>6.14</v>
      </c>
      <c r="E151" s="38">
        <v>10.42</v>
      </c>
      <c r="F151" s="38">
        <v>28.41</v>
      </c>
      <c r="G151" s="501">
        <v>232.3</v>
      </c>
      <c r="H151" s="38">
        <v>69.3</v>
      </c>
      <c r="I151" s="38">
        <v>41.1</v>
      </c>
      <c r="J151" s="38">
        <v>1.63</v>
      </c>
      <c r="K151" s="38">
        <v>12.96</v>
      </c>
      <c r="L151" s="300" t="s">
        <v>483</v>
      </c>
    </row>
    <row r="152" spans="1:13" ht="15.75">
      <c r="A152" s="4"/>
      <c r="B152" s="431" t="s">
        <v>551</v>
      </c>
      <c r="C152" s="446">
        <v>180</v>
      </c>
      <c r="D152" s="90">
        <v>0.3</v>
      </c>
      <c r="E152" s="90">
        <v>0</v>
      </c>
      <c r="F152" s="90">
        <v>3.5</v>
      </c>
      <c r="G152" s="501">
        <v>16</v>
      </c>
      <c r="H152" s="37">
        <v>8.1</v>
      </c>
      <c r="I152" s="37">
        <v>5.4</v>
      </c>
      <c r="J152" s="37">
        <v>0.8</v>
      </c>
      <c r="K152" s="90">
        <v>2.4</v>
      </c>
      <c r="L152" s="279" t="s">
        <v>552</v>
      </c>
      <c r="M152" s="203"/>
    </row>
    <row r="153" spans="1:12" ht="15.75">
      <c r="A153" s="4"/>
      <c r="B153" s="229" t="s">
        <v>474</v>
      </c>
      <c r="C153" s="386">
        <v>40</v>
      </c>
      <c r="D153" s="93">
        <v>5.266666666666667</v>
      </c>
      <c r="E153" s="93">
        <v>3.066666666666667</v>
      </c>
      <c r="F153" s="93">
        <v>16.666666666666668</v>
      </c>
      <c r="G153" s="490">
        <v>115</v>
      </c>
      <c r="H153" s="93">
        <v>29</v>
      </c>
      <c r="I153" s="93">
        <v>12.333333333333334</v>
      </c>
      <c r="J153" s="93">
        <v>0.6</v>
      </c>
      <c r="K153" s="93">
        <v>0</v>
      </c>
      <c r="L153" s="294" t="s">
        <v>475</v>
      </c>
    </row>
    <row r="154" spans="1:12" ht="15.75">
      <c r="A154" s="4"/>
      <c r="B154" s="214" t="s">
        <v>37</v>
      </c>
      <c r="C154" s="274">
        <v>10</v>
      </c>
      <c r="D154" s="25">
        <v>0.8</v>
      </c>
      <c r="E154" s="25">
        <v>0.2</v>
      </c>
      <c r="F154" s="25">
        <v>4.9</v>
      </c>
      <c r="G154" s="505">
        <v>24.4</v>
      </c>
      <c r="H154" s="25">
        <v>2.3</v>
      </c>
      <c r="I154" s="25">
        <v>3.3</v>
      </c>
      <c r="J154" s="25">
        <v>0.3</v>
      </c>
      <c r="K154" s="25">
        <v>0</v>
      </c>
      <c r="L154" s="302" t="s">
        <v>21</v>
      </c>
    </row>
    <row r="155" spans="1:12" ht="15.75">
      <c r="A155" s="45" t="s">
        <v>56</v>
      </c>
      <c r="B155" s="47"/>
      <c r="C155" s="9">
        <v>450</v>
      </c>
      <c r="D155" s="8">
        <f aca="true" t="shared" si="24" ref="D155:K155">SUM(D150:D154)</f>
        <v>13.066666666666666</v>
      </c>
      <c r="E155" s="8">
        <f t="shared" si="24"/>
        <v>15.766666666666666</v>
      </c>
      <c r="F155" s="8">
        <f t="shared" si="24"/>
        <v>56.99666666666666</v>
      </c>
      <c r="G155" s="9">
        <f t="shared" si="24"/>
        <v>422.9</v>
      </c>
      <c r="H155" s="8">
        <f t="shared" si="24"/>
        <v>116.05999999999999</v>
      </c>
      <c r="I155" s="8">
        <f t="shared" si="24"/>
        <v>68.85333333333332</v>
      </c>
      <c r="J155" s="8">
        <f t="shared" si="24"/>
        <v>3.7433333333333327</v>
      </c>
      <c r="K155" s="8">
        <f t="shared" si="24"/>
        <v>20.96</v>
      </c>
      <c r="L155" s="305"/>
    </row>
    <row r="156" spans="1:12" ht="15.75">
      <c r="A156" s="55" t="s">
        <v>63</v>
      </c>
      <c r="B156" s="47"/>
      <c r="C156" s="9"/>
      <c r="D156" s="8">
        <f aca="true" t="shared" si="25" ref="D156:K156">SUM(D136,D139,D148,D155)</f>
        <v>47.83383333333333</v>
      </c>
      <c r="E156" s="8">
        <f t="shared" si="25"/>
        <v>47.11966666666666</v>
      </c>
      <c r="F156" s="8">
        <f t="shared" si="25"/>
        <v>178.0995</v>
      </c>
      <c r="G156" s="9">
        <f t="shared" si="25"/>
        <v>1259.9</v>
      </c>
      <c r="H156" s="8">
        <f t="shared" si="25"/>
        <v>285.65666666666664</v>
      </c>
      <c r="I156" s="8">
        <f t="shared" si="25"/>
        <v>188.65966666666668</v>
      </c>
      <c r="J156" s="8">
        <f t="shared" si="25"/>
        <v>17.141499999999997</v>
      </c>
      <c r="K156" s="8">
        <f t="shared" si="25"/>
        <v>99.53333333333333</v>
      </c>
      <c r="L156" s="305"/>
    </row>
    <row r="157" spans="1:12" ht="15.75">
      <c r="A157" s="55"/>
      <c r="B157" s="583"/>
      <c r="C157" s="584"/>
      <c r="D157" s="584"/>
      <c r="E157" s="584"/>
      <c r="F157" s="584"/>
      <c r="G157" s="584"/>
      <c r="H157" s="584"/>
      <c r="I157" s="584"/>
      <c r="J157" s="584"/>
      <c r="K157" s="585"/>
      <c r="L157" s="282"/>
    </row>
    <row r="158" spans="1:12" ht="15.75">
      <c r="A158" s="45"/>
      <c r="B158" s="587" t="s">
        <v>73</v>
      </c>
      <c r="C158" s="587"/>
      <c r="D158" s="587"/>
      <c r="E158" s="587"/>
      <c r="F158" s="587"/>
      <c r="G158" s="587"/>
      <c r="H158" s="587"/>
      <c r="I158" s="587"/>
      <c r="J158" s="587"/>
      <c r="K158" s="587"/>
      <c r="L158" s="282"/>
    </row>
    <row r="159" spans="1:12" ht="15.75">
      <c r="A159" s="40" t="s">
        <v>52</v>
      </c>
      <c r="B159" s="1"/>
      <c r="C159" s="121"/>
      <c r="D159" s="12"/>
      <c r="E159" s="12"/>
      <c r="F159" s="12"/>
      <c r="G159" s="121"/>
      <c r="H159" s="12"/>
      <c r="I159" s="12"/>
      <c r="J159" s="12"/>
      <c r="K159" s="12"/>
      <c r="L159" s="282"/>
    </row>
    <row r="160" spans="1:12" ht="15.75">
      <c r="A160" s="4"/>
      <c r="B160" s="220" t="s">
        <v>90</v>
      </c>
      <c r="C160" s="447" t="s">
        <v>573</v>
      </c>
      <c r="D160" s="31">
        <v>1.924</v>
      </c>
      <c r="E160" s="31">
        <v>1.7000000000000002</v>
      </c>
      <c r="F160" s="32">
        <v>12.842</v>
      </c>
      <c r="G160" s="496">
        <v>86</v>
      </c>
      <c r="H160" s="32">
        <v>8.8</v>
      </c>
      <c r="I160" s="31">
        <v>11.8</v>
      </c>
      <c r="J160" s="31">
        <v>1</v>
      </c>
      <c r="K160" s="31">
        <v>0</v>
      </c>
      <c r="L160" s="287" t="s">
        <v>91</v>
      </c>
    </row>
    <row r="161" spans="1:12" ht="15.75">
      <c r="A161" s="4"/>
      <c r="B161" s="221" t="s">
        <v>350</v>
      </c>
      <c r="C161" s="85">
        <v>150</v>
      </c>
      <c r="D161" s="84">
        <v>3.2928000000000006</v>
      </c>
      <c r="E161" s="84">
        <v>3.0288000000000004</v>
      </c>
      <c r="F161" s="84">
        <v>10.142399999999999</v>
      </c>
      <c r="G161" s="401">
        <v>99</v>
      </c>
      <c r="H161" s="84">
        <v>128.3</v>
      </c>
      <c r="I161" s="84">
        <v>15.7</v>
      </c>
      <c r="J161" s="84">
        <v>0.2</v>
      </c>
      <c r="K161" s="84">
        <v>0.7</v>
      </c>
      <c r="L161" s="287" t="s">
        <v>385</v>
      </c>
    </row>
    <row r="162" spans="1:12" ht="15.75">
      <c r="A162" s="4"/>
      <c r="B162" s="220" t="s">
        <v>115</v>
      </c>
      <c r="C162" s="85">
        <v>170</v>
      </c>
      <c r="D162" s="22">
        <v>5.1765</v>
      </c>
      <c r="E162" s="22">
        <v>4.607</v>
      </c>
      <c r="F162" s="22">
        <v>8.568</v>
      </c>
      <c r="G162" s="401">
        <v>96</v>
      </c>
      <c r="H162" s="22">
        <v>214.88</v>
      </c>
      <c r="I162" s="22">
        <v>25.04666666666667</v>
      </c>
      <c r="J162" s="22">
        <v>0.18133333333333332</v>
      </c>
      <c r="K162" s="22">
        <v>2.3205</v>
      </c>
      <c r="L162" s="279" t="s">
        <v>352</v>
      </c>
    </row>
    <row r="163" spans="1:12" ht="15.75">
      <c r="A163" s="45" t="s">
        <v>23</v>
      </c>
      <c r="B163" s="56"/>
      <c r="C163" s="9">
        <v>350</v>
      </c>
      <c r="D163" s="8">
        <f aca="true" t="shared" si="26" ref="D163:K163">SUM(D160:D162)</f>
        <v>10.3933</v>
      </c>
      <c r="E163" s="8">
        <f t="shared" si="26"/>
        <v>9.3358</v>
      </c>
      <c r="F163" s="8">
        <f t="shared" si="26"/>
        <v>31.5524</v>
      </c>
      <c r="G163" s="9">
        <f t="shared" si="26"/>
        <v>281</v>
      </c>
      <c r="H163" s="8">
        <f t="shared" si="26"/>
        <v>351.98</v>
      </c>
      <c r="I163" s="8">
        <f t="shared" si="26"/>
        <v>52.54666666666667</v>
      </c>
      <c r="J163" s="8">
        <f t="shared" si="26"/>
        <v>1.3813333333333333</v>
      </c>
      <c r="K163" s="8">
        <f t="shared" si="26"/>
        <v>3.0205</v>
      </c>
      <c r="L163" s="282"/>
    </row>
    <row r="164" spans="1:12" ht="15.75">
      <c r="A164" s="40" t="s">
        <v>53</v>
      </c>
      <c r="B164" s="1"/>
      <c r="C164" s="121"/>
      <c r="D164" s="5"/>
      <c r="E164" s="5"/>
      <c r="F164" s="5"/>
      <c r="G164" s="121"/>
      <c r="H164" s="5"/>
      <c r="I164" s="5"/>
      <c r="J164" s="5"/>
      <c r="K164" s="5"/>
      <c r="L164" s="282"/>
    </row>
    <row r="165" spans="1:12" s="338" customFormat="1" ht="15.75">
      <c r="A165" s="58"/>
      <c r="B165" s="236" t="s">
        <v>382</v>
      </c>
      <c r="C165" s="448" t="s">
        <v>574</v>
      </c>
      <c r="D165" s="38">
        <v>0.6000000000000001</v>
      </c>
      <c r="E165" s="38">
        <v>0.52</v>
      </c>
      <c r="F165" s="38">
        <v>15.100000000000001</v>
      </c>
      <c r="G165" s="501">
        <v>68</v>
      </c>
      <c r="H165" s="38">
        <v>26.4</v>
      </c>
      <c r="I165" s="38">
        <v>15.899999999999999</v>
      </c>
      <c r="J165" s="38">
        <v>3.38</v>
      </c>
      <c r="K165" s="38">
        <v>11</v>
      </c>
      <c r="L165" s="337" t="s">
        <v>88</v>
      </c>
    </row>
    <row r="166" spans="1:12" ht="15.75">
      <c r="A166" s="58"/>
      <c r="B166" s="80"/>
      <c r="C166" s="250">
        <v>150</v>
      </c>
      <c r="D166" s="322">
        <f>SUM(D165)</f>
        <v>0.6000000000000001</v>
      </c>
      <c r="E166" s="322">
        <f aca="true" t="shared" si="27" ref="E166:K166">SUM(E165)</f>
        <v>0.52</v>
      </c>
      <c r="F166" s="322">
        <f t="shared" si="27"/>
        <v>15.100000000000001</v>
      </c>
      <c r="G166" s="508">
        <f t="shared" si="27"/>
        <v>68</v>
      </c>
      <c r="H166" s="322">
        <f t="shared" si="27"/>
        <v>26.4</v>
      </c>
      <c r="I166" s="322">
        <f t="shared" si="27"/>
        <v>15.899999999999999</v>
      </c>
      <c r="J166" s="322">
        <f t="shared" si="27"/>
        <v>3.38</v>
      </c>
      <c r="K166" s="322">
        <f t="shared" si="27"/>
        <v>11</v>
      </c>
      <c r="L166" s="281"/>
    </row>
    <row r="167" spans="1:12" ht="15.75">
      <c r="A167" s="65" t="s">
        <v>54</v>
      </c>
      <c r="B167" s="1"/>
      <c r="C167" s="121"/>
      <c r="D167" s="5"/>
      <c r="E167" s="5"/>
      <c r="F167" s="5"/>
      <c r="G167" s="339"/>
      <c r="H167" s="5"/>
      <c r="I167" s="5"/>
      <c r="J167" s="5"/>
      <c r="K167" s="5"/>
      <c r="L167" s="282"/>
    </row>
    <row r="168" spans="1:12" ht="15.75">
      <c r="A168" s="40"/>
      <c r="B168" s="221" t="s">
        <v>506</v>
      </c>
      <c r="C168" s="429" t="s">
        <v>535</v>
      </c>
      <c r="D168" s="39">
        <v>0.36</v>
      </c>
      <c r="E168" s="39">
        <v>2.04</v>
      </c>
      <c r="F168" s="39">
        <v>0.42</v>
      </c>
      <c r="G168" s="74">
        <v>25.2</v>
      </c>
      <c r="H168" s="24">
        <v>0.06</v>
      </c>
      <c r="I168" s="24">
        <v>0.06</v>
      </c>
      <c r="J168" s="24">
        <v>0.3</v>
      </c>
      <c r="K168" s="39">
        <v>7.5</v>
      </c>
      <c r="L168" s="287" t="s">
        <v>354</v>
      </c>
    </row>
    <row r="169" spans="1:12" ht="15.75">
      <c r="A169" s="58"/>
      <c r="B169" s="237" t="s">
        <v>509</v>
      </c>
      <c r="C169" s="439" t="s">
        <v>569</v>
      </c>
      <c r="D169" s="22">
        <v>5.86</v>
      </c>
      <c r="E169" s="22">
        <v>6.82</v>
      </c>
      <c r="F169" s="22">
        <v>7.5</v>
      </c>
      <c r="G169" s="401">
        <v>115</v>
      </c>
      <c r="H169" s="39">
        <v>63.87</v>
      </c>
      <c r="I169" s="39">
        <v>14.54</v>
      </c>
      <c r="J169" s="39">
        <v>0.44</v>
      </c>
      <c r="K169" s="22">
        <v>0.42</v>
      </c>
      <c r="L169" s="287" t="s">
        <v>355</v>
      </c>
    </row>
    <row r="170" spans="1:12" ht="15.75">
      <c r="A170" s="4"/>
      <c r="B170" s="220" t="s">
        <v>507</v>
      </c>
      <c r="C170" s="440">
        <v>50</v>
      </c>
      <c r="D170" s="69">
        <v>7.2</v>
      </c>
      <c r="E170" s="69">
        <v>6</v>
      </c>
      <c r="F170" s="69">
        <v>6.6</v>
      </c>
      <c r="G170" s="493">
        <v>110.2</v>
      </c>
      <c r="H170" s="69">
        <v>14.8</v>
      </c>
      <c r="I170" s="69">
        <v>9.6</v>
      </c>
      <c r="J170" s="69">
        <v>1</v>
      </c>
      <c r="K170" s="69">
        <v>0.2</v>
      </c>
      <c r="L170" s="288" t="s">
        <v>353</v>
      </c>
    </row>
    <row r="171" spans="1:12" ht="15.75">
      <c r="A171" s="4"/>
      <c r="B171" s="223" t="s">
        <v>35</v>
      </c>
      <c r="C171" s="430">
        <v>110</v>
      </c>
      <c r="D171" s="36">
        <v>4</v>
      </c>
      <c r="E171" s="36">
        <v>3.3</v>
      </c>
      <c r="F171" s="36">
        <v>19.4</v>
      </c>
      <c r="G171" s="493">
        <v>124.4</v>
      </c>
      <c r="H171" s="36">
        <v>3.6</v>
      </c>
      <c r="I171" s="36">
        <v>15.5</v>
      </c>
      <c r="J171" s="36">
        <v>0.8</v>
      </c>
      <c r="K171" s="36">
        <v>0</v>
      </c>
      <c r="L171" s="287" t="s">
        <v>84</v>
      </c>
    </row>
    <row r="172" spans="1:12" ht="15.75">
      <c r="A172" s="4"/>
      <c r="B172" s="223" t="s">
        <v>508</v>
      </c>
      <c r="C172" s="429">
        <v>150</v>
      </c>
      <c r="D172" s="22">
        <v>0.3</v>
      </c>
      <c r="E172" s="22">
        <v>0.013500000000000002</v>
      </c>
      <c r="F172" s="22">
        <v>17.9</v>
      </c>
      <c r="G172" s="401">
        <v>73</v>
      </c>
      <c r="H172" s="22">
        <v>23.9</v>
      </c>
      <c r="I172" s="22">
        <v>4.5</v>
      </c>
      <c r="J172" s="22">
        <v>0.92</v>
      </c>
      <c r="K172" s="22">
        <v>0.3</v>
      </c>
      <c r="L172" s="279" t="s">
        <v>468</v>
      </c>
    </row>
    <row r="173" spans="1:12" ht="15.75">
      <c r="A173" s="4"/>
      <c r="B173" s="326" t="s">
        <v>37</v>
      </c>
      <c r="C173" s="479">
        <v>10</v>
      </c>
      <c r="D173" s="480">
        <v>0.64</v>
      </c>
      <c r="E173" s="480">
        <v>0.16</v>
      </c>
      <c r="F173" s="480">
        <v>3.9200000000000004</v>
      </c>
      <c r="G173" s="465">
        <v>18.5</v>
      </c>
      <c r="H173" s="480">
        <v>1.8399999999999999</v>
      </c>
      <c r="I173" s="480">
        <v>2.6399999999999997</v>
      </c>
      <c r="J173" s="480">
        <v>0.24</v>
      </c>
      <c r="K173" s="480">
        <v>0</v>
      </c>
      <c r="L173" s="309" t="s">
        <v>21</v>
      </c>
    </row>
    <row r="174" spans="1:12" ht="15.75">
      <c r="A174" s="4"/>
      <c r="B174" s="326" t="s">
        <v>38</v>
      </c>
      <c r="C174" s="481">
        <v>14</v>
      </c>
      <c r="D174" s="482">
        <v>1</v>
      </c>
      <c r="E174" s="482">
        <v>0.2</v>
      </c>
      <c r="F174" s="482">
        <v>5.8</v>
      </c>
      <c r="G174" s="467">
        <v>29.5</v>
      </c>
      <c r="H174" s="482">
        <v>4.9</v>
      </c>
      <c r="I174" s="482">
        <v>6.6</v>
      </c>
      <c r="J174" s="482">
        <v>0.6</v>
      </c>
      <c r="K174" s="482">
        <v>0</v>
      </c>
      <c r="L174" s="310" t="s">
        <v>22</v>
      </c>
    </row>
    <row r="175" spans="1:12" ht="15.75">
      <c r="A175" s="47" t="s">
        <v>27</v>
      </c>
      <c r="B175" s="56"/>
      <c r="C175" s="468">
        <v>516</v>
      </c>
      <c r="D175" s="8">
        <f aca="true" t="shared" si="28" ref="D175:K175">SUM(D168:D174)</f>
        <v>19.360000000000003</v>
      </c>
      <c r="E175" s="8">
        <f t="shared" si="28"/>
        <v>18.5335</v>
      </c>
      <c r="F175" s="8">
        <f t="shared" si="28"/>
        <v>61.54</v>
      </c>
      <c r="G175" s="9">
        <f t="shared" si="28"/>
        <v>495.79999999999995</v>
      </c>
      <c r="H175" s="8">
        <f t="shared" si="28"/>
        <v>112.97</v>
      </c>
      <c r="I175" s="8">
        <f t="shared" si="28"/>
        <v>53.440000000000005</v>
      </c>
      <c r="J175" s="8">
        <f t="shared" si="28"/>
        <v>4.3</v>
      </c>
      <c r="K175" s="8">
        <f t="shared" si="28"/>
        <v>8.42</v>
      </c>
      <c r="L175" s="282"/>
    </row>
    <row r="176" spans="1:12" ht="15.75">
      <c r="A176" s="45" t="s">
        <v>55</v>
      </c>
      <c r="B176" s="53"/>
      <c r="C176" s="450"/>
      <c r="D176" s="3"/>
      <c r="E176" s="3"/>
      <c r="F176" s="3"/>
      <c r="G176" s="491"/>
      <c r="H176" s="3"/>
      <c r="I176" s="3"/>
      <c r="J176" s="3"/>
      <c r="K176" s="3"/>
      <c r="L176" s="282"/>
    </row>
    <row r="177" spans="1:12" ht="15.75">
      <c r="A177" s="45"/>
      <c r="B177" s="238" t="s">
        <v>563</v>
      </c>
      <c r="C177" s="442" t="s">
        <v>568</v>
      </c>
      <c r="D177" s="39">
        <v>0.7759999999999999</v>
      </c>
      <c r="E177" s="39">
        <v>3.44</v>
      </c>
      <c r="F177" s="39">
        <v>4.48</v>
      </c>
      <c r="G177" s="74">
        <v>51.6</v>
      </c>
      <c r="H177" s="39">
        <v>18.88</v>
      </c>
      <c r="I177" s="39">
        <v>10.72</v>
      </c>
      <c r="J177" s="39">
        <v>0.72</v>
      </c>
      <c r="K177" s="39">
        <v>5.12</v>
      </c>
      <c r="L177" s="287" t="s">
        <v>114</v>
      </c>
    </row>
    <row r="178" spans="1:12" ht="15.75">
      <c r="A178" s="40"/>
      <c r="B178" s="239" t="s">
        <v>439</v>
      </c>
      <c r="C178" s="451">
        <v>60</v>
      </c>
      <c r="D178" s="86">
        <v>10.851999999999999</v>
      </c>
      <c r="E178" s="86">
        <v>2.502</v>
      </c>
      <c r="F178" s="86">
        <v>1.038</v>
      </c>
      <c r="G178" s="492">
        <v>70</v>
      </c>
      <c r="H178" s="86">
        <v>28.7</v>
      </c>
      <c r="I178" s="86">
        <v>36</v>
      </c>
      <c r="J178" s="86">
        <v>0.6</v>
      </c>
      <c r="K178" s="86">
        <v>0.324</v>
      </c>
      <c r="L178" s="288" t="s">
        <v>102</v>
      </c>
    </row>
    <row r="179" spans="1:12" ht="15.75">
      <c r="A179" s="4"/>
      <c r="B179" s="60" t="s">
        <v>6</v>
      </c>
      <c r="C179" s="430">
        <v>120</v>
      </c>
      <c r="D179" s="36">
        <v>2.4</v>
      </c>
      <c r="E179" s="36">
        <v>3.8181818181818183</v>
      </c>
      <c r="F179" s="36">
        <v>12.545454545454545</v>
      </c>
      <c r="G179" s="493">
        <v>110</v>
      </c>
      <c r="H179" s="36">
        <v>29.563636363636363</v>
      </c>
      <c r="I179" s="36">
        <v>22.254545454545454</v>
      </c>
      <c r="J179" s="36">
        <v>0.7636363636363637</v>
      </c>
      <c r="K179" s="36">
        <v>14.50909090909091</v>
      </c>
      <c r="L179" s="289" t="s">
        <v>89</v>
      </c>
    </row>
    <row r="180" spans="1:12" ht="15.75">
      <c r="A180" s="4"/>
      <c r="B180" s="240" t="s">
        <v>129</v>
      </c>
      <c r="C180" s="451">
        <v>30</v>
      </c>
      <c r="D180" s="86">
        <v>0.36</v>
      </c>
      <c r="E180" s="86">
        <v>1.28</v>
      </c>
      <c r="F180" s="86">
        <v>2.4</v>
      </c>
      <c r="G180" s="492">
        <v>23</v>
      </c>
      <c r="H180" s="86">
        <v>4.8</v>
      </c>
      <c r="I180" s="86">
        <v>3.4</v>
      </c>
      <c r="J180" s="86">
        <v>0.2</v>
      </c>
      <c r="K180" s="86">
        <v>0.7</v>
      </c>
      <c r="L180" s="288" t="s">
        <v>130</v>
      </c>
    </row>
    <row r="181" spans="1:12" ht="15.75">
      <c r="A181" s="4"/>
      <c r="B181" s="224" t="s">
        <v>477</v>
      </c>
      <c r="C181" s="452" t="s">
        <v>476</v>
      </c>
      <c r="D181" s="70">
        <v>0.14</v>
      </c>
      <c r="E181" s="70">
        <v>0.02</v>
      </c>
      <c r="F181" s="70">
        <v>10.75</v>
      </c>
      <c r="G181" s="504">
        <v>44</v>
      </c>
      <c r="H181" s="70">
        <v>4.7</v>
      </c>
      <c r="I181" s="70">
        <v>2.7</v>
      </c>
      <c r="J181" s="70">
        <v>0.31</v>
      </c>
      <c r="K181" s="71">
        <v>0.39</v>
      </c>
      <c r="L181" s="290" t="s">
        <v>8</v>
      </c>
    </row>
    <row r="182" spans="1:12" ht="15.75">
      <c r="A182" s="4"/>
      <c r="B182" s="220" t="s">
        <v>86</v>
      </c>
      <c r="C182" s="439">
        <v>18</v>
      </c>
      <c r="D182" s="22">
        <v>0.5399999999999999</v>
      </c>
      <c r="E182" s="22">
        <v>0.5399999999999999</v>
      </c>
      <c r="F182" s="22">
        <v>13.86</v>
      </c>
      <c r="G182" s="401">
        <v>63</v>
      </c>
      <c r="H182" s="22">
        <v>1.44</v>
      </c>
      <c r="I182" s="22">
        <v>0.36</v>
      </c>
      <c r="J182" s="22">
        <v>0.18</v>
      </c>
      <c r="K182" s="22">
        <v>0</v>
      </c>
      <c r="L182" s="279" t="s">
        <v>3</v>
      </c>
    </row>
    <row r="183" spans="1:12" ht="15.75">
      <c r="A183" s="4"/>
      <c r="B183" s="241" t="s">
        <v>37</v>
      </c>
      <c r="C183" s="439">
        <v>10</v>
      </c>
      <c r="D183" s="22">
        <v>0.8</v>
      </c>
      <c r="E183" s="22">
        <v>0.2</v>
      </c>
      <c r="F183" s="22">
        <v>4.9</v>
      </c>
      <c r="G183" s="401">
        <v>24</v>
      </c>
      <c r="H183" s="22">
        <v>2.3</v>
      </c>
      <c r="I183" s="22">
        <v>3.3</v>
      </c>
      <c r="J183" s="22">
        <v>0.3</v>
      </c>
      <c r="K183" s="22">
        <v>0</v>
      </c>
      <c r="L183" s="279" t="s">
        <v>21</v>
      </c>
    </row>
    <row r="184" spans="1:12" ht="15.75">
      <c r="A184" s="4"/>
      <c r="B184" s="192" t="s">
        <v>38</v>
      </c>
      <c r="C184" s="483">
        <v>14</v>
      </c>
      <c r="D184" s="484">
        <v>1</v>
      </c>
      <c r="E184" s="484">
        <v>0.2</v>
      </c>
      <c r="F184" s="484">
        <v>5.8</v>
      </c>
      <c r="G184" s="490">
        <v>30</v>
      </c>
      <c r="H184" s="484">
        <v>4.9</v>
      </c>
      <c r="I184" s="484">
        <v>6.6</v>
      </c>
      <c r="J184" s="484">
        <v>0.6</v>
      </c>
      <c r="K184" s="484">
        <v>0</v>
      </c>
      <c r="L184" s="280" t="s">
        <v>22</v>
      </c>
    </row>
    <row r="185" spans="1:12" ht="15.75">
      <c r="A185" s="45" t="s">
        <v>56</v>
      </c>
      <c r="B185" s="47"/>
      <c r="C185" s="9">
        <v>488</v>
      </c>
      <c r="D185" s="8">
        <f aca="true" t="shared" si="29" ref="D185:K185">SUM(D177:D184)</f>
        <v>16.868</v>
      </c>
      <c r="E185" s="8">
        <f t="shared" si="29"/>
        <v>12.000181818181815</v>
      </c>
      <c r="F185" s="8">
        <f t="shared" si="29"/>
        <v>55.77345454545454</v>
      </c>
      <c r="G185" s="9">
        <f t="shared" si="29"/>
        <v>415.6</v>
      </c>
      <c r="H185" s="8">
        <f t="shared" si="29"/>
        <v>95.28363636363636</v>
      </c>
      <c r="I185" s="8">
        <f t="shared" si="29"/>
        <v>85.33454545454545</v>
      </c>
      <c r="J185" s="8">
        <f t="shared" si="29"/>
        <v>3.673636363636364</v>
      </c>
      <c r="K185" s="8">
        <f t="shared" si="29"/>
        <v>21.04309090909091</v>
      </c>
      <c r="L185" s="282"/>
    </row>
    <row r="186" spans="1:12" ht="15.75">
      <c r="A186" s="55" t="s">
        <v>64</v>
      </c>
      <c r="B186" s="47"/>
      <c r="C186" s="124"/>
      <c r="D186" s="8">
        <f aca="true" t="shared" si="30" ref="D186:K186">SUM(D163,D166,D175,D185)</f>
        <v>47.2213</v>
      </c>
      <c r="E186" s="8">
        <f t="shared" si="30"/>
        <v>40.389481818181814</v>
      </c>
      <c r="F186" s="8">
        <f t="shared" si="30"/>
        <v>163.96585454545453</v>
      </c>
      <c r="G186" s="9">
        <f t="shared" si="30"/>
        <v>1260.4</v>
      </c>
      <c r="H186" s="8">
        <f t="shared" si="30"/>
        <v>586.6336363636364</v>
      </c>
      <c r="I186" s="8">
        <f t="shared" si="30"/>
        <v>207.2212121212121</v>
      </c>
      <c r="J186" s="8">
        <f t="shared" si="30"/>
        <v>12.734969696969697</v>
      </c>
      <c r="K186" s="8">
        <f t="shared" si="30"/>
        <v>43.48359090909091</v>
      </c>
      <c r="L186" s="282"/>
    </row>
    <row r="187" spans="1:12" ht="15.75">
      <c r="A187" s="4"/>
      <c r="B187" s="583"/>
      <c r="C187" s="584"/>
      <c r="D187" s="584"/>
      <c r="E187" s="584"/>
      <c r="F187" s="584"/>
      <c r="G187" s="584"/>
      <c r="H187" s="584"/>
      <c r="I187" s="584"/>
      <c r="J187" s="584"/>
      <c r="K187" s="585"/>
      <c r="L187" s="282"/>
    </row>
    <row r="188" spans="1:12" ht="15.75">
      <c r="A188" s="4"/>
      <c r="B188" s="591" t="s">
        <v>72</v>
      </c>
      <c r="C188" s="591"/>
      <c r="D188" s="591"/>
      <c r="E188" s="591"/>
      <c r="F188" s="591"/>
      <c r="G188" s="591"/>
      <c r="H188" s="591"/>
      <c r="I188" s="591"/>
      <c r="J188" s="591"/>
      <c r="K188" s="591"/>
      <c r="L188" s="282"/>
    </row>
    <row r="189" spans="1:12" ht="15.75">
      <c r="A189" s="40" t="s">
        <v>52</v>
      </c>
      <c r="B189" s="42"/>
      <c r="C189" s="121"/>
      <c r="D189" s="12"/>
      <c r="E189" s="12"/>
      <c r="F189" s="12"/>
      <c r="G189" s="121"/>
      <c r="H189" s="12"/>
      <c r="I189" s="12"/>
      <c r="J189" s="12"/>
      <c r="K189" s="12"/>
      <c r="L189" s="277"/>
    </row>
    <row r="190" spans="1:12" ht="15.75">
      <c r="A190" s="58"/>
      <c r="B190" s="209" t="s">
        <v>349</v>
      </c>
      <c r="C190" s="88">
        <v>7</v>
      </c>
      <c r="D190" s="70">
        <v>1.8433333333333333</v>
      </c>
      <c r="E190" s="70">
        <v>1.8620000000000005</v>
      </c>
      <c r="F190" s="70">
        <v>0</v>
      </c>
      <c r="G190" s="504">
        <v>24.5</v>
      </c>
      <c r="H190" s="70">
        <v>0</v>
      </c>
      <c r="I190" s="70">
        <v>0</v>
      </c>
      <c r="J190" s="70">
        <v>0</v>
      </c>
      <c r="K190" s="70">
        <v>0.05133333333333333</v>
      </c>
      <c r="L190" s="303" t="s">
        <v>305</v>
      </c>
    </row>
    <row r="191" spans="1:12" ht="15.75">
      <c r="A191" s="4"/>
      <c r="B191" s="262" t="s">
        <v>480</v>
      </c>
      <c r="C191" s="401">
        <v>150</v>
      </c>
      <c r="D191" s="22">
        <v>4.4775</v>
      </c>
      <c r="E191" s="22">
        <v>4.1085</v>
      </c>
      <c r="F191" s="22">
        <v>12.8115</v>
      </c>
      <c r="G191" s="401">
        <v>106.66666666666667</v>
      </c>
      <c r="H191" s="22">
        <v>120.675</v>
      </c>
      <c r="I191" s="22">
        <v>34.875</v>
      </c>
      <c r="J191" s="22">
        <v>0.8250000000000002</v>
      </c>
      <c r="K191" s="22">
        <v>0.675</v>
      </c>
      <c r="L191" s="113" t="s">
        <v>10</v>
      </c>
    </row>
    <row r="192" spans="1:12" ht="15.75">
      <c r="A192" s="4"/>
      <c r="B192" s="230" t="s">
        <v>446</v>
      </c>
      <c r="C192" s="399">
        <v>170</v>
      </c>
      <c r="D192" s="90">
        <v>3.4509999999999996</v>
      </c>
      <c r="E192" s="90">
        <v>2.9920000000000004</v>
      </c>
      <c r="F192" s="90">
        <v>10.766666666666667</v>
      </c>
      <c r="G192" s="501">
        <v>83.5</v>
      </c>
      <c r="H192" s="37">
        <v>129.38888888888889</v>
      </c>
      <c r="I192" s="37">
        <v>18.133333333333333</v>
      </c>
      <c r="J192" s="37">
        <v>0.4061111111111111</v>
      </c>
      <c r="K192" s="90">
        <v>1.3505555555555555</v>
      </c>
      <c r="L192" s="279" t="s">
        <v>16</v>
      </c>
    </row>
    <row r="193" spans="1:12" ht="15.75">
      <c r="A193" s="4"/>
      <c r="B193" s="46" t="s">
        <v>36</v>
      </c>
      <c r="C193" s="28">
        <v>25</v>
      </c>
      <c r="D193" s="22">
        <v>1.9</v>
      </c>
      <c r="E193" s="22">
        <v>0.8</v>
      </c>
      <c r="F193" s="22">
        <v>12.8</v>
      </c>
      <c r="G193" s="401">
        <v>65.5</v>
      </c>
      <c r="H193" s="22">
        <v>8.8</v>
      </c>
      <c r="I193" s="22">
        <v>11.8</v>
      </c>
      <c r="J193" s="22">
        <v>1</v>
      </c>
      <c r="K193" s="22">
        <v>0</v>
      </c>
      <c r="L193" s="280" t="s">
        <v>7</v>
      </c>
    </row>
    <row r="194" spans="1:12" ht="15.75">
      <c r="A194" s="40" t="s">
        <v>23</v>
      </c>
      <c r="B194" s="47"/>
      <c r="C194" s="9">
        <f>SUM(C190:C193)</f>
        <v>352</v>
      </c>
      <c r="D194" s="8">
        <f aca="true" t="shared" si="31" ref="D194:K194">SUM(D189:D193)</f>
        <v>11.671833333333334</v>
      </c>
      <c r="E194" s="8">
        <f t="shared" si="31"/>
        <v>9.762500000000003</v>
      </c>
      <c r="F194" s="8">
        <f t="shared" si="31"/>
        <v>36.37816666666667</v>
      </c>
      <c r="G194" s="9">
        <f t="shared" si="31"/>
        <v>280.1666666666667</v>
      </c>
      <c r="H194" s="8">
        <f t="shared" si="31"/>
        <v>258.8638888888889</v>
      </c>
      <c r="I194" s="8">
        <f t="shared" si="31"/>
        <v>64.80833333333334</v>
      </c>
      <c r="J194" s="8">
        <f t="shared" si="31"/>
        <v>2.2311111111111113</v>
      </c>
      <c r="K194" s="8">
        <f t="shared" si="31"/>
        <v>2.076888888888889</v>
      </c>
      <c r="L194" s="282"/>
    </row>
    <row r="195" spans="1:12" ht="15.75">
      <c r="A195" s="81" t="s">
        <v>53</v>
      </c>
      <c r="B195" s="1"/>
      <c r="C195" s="121"/>
      <c r="D195" s="5"/>
      <c r="E195" s="5"/>
      <c r="F195" s="5"/>
      <c r="G195" s="339"/>
      <c r="H195" s="5"/>
      <c r="I195" s="5"/>
      <c r="J195" s="5"/>
      <c r="K195" s="5"/>
      <c r="L195" s="282"/>
    </row>
    <row r="196" spans="1:12" ht="15.75">
      <c r="A196" s="64"/>
      <c r="B196" s="242" t="s">
        <v>323</v>
      </c>
      <c r="C196" s="124">
        <v>105</v>
      </c>
      <c r="D196" s="3">
        <v>2.0124999999999997</v>
      </c>
      <c r="E196" s="3">
        <v>1.1375000000000002</v>
      </c>
      <c r="F196" s="3">
        <v>10.85</v>
      </c>
      <c r="G196" s="124">
        <v>69</v>
      </c>
      <c r="H196" s="3">
        <v>47.075</v>
      </c>
      <c r="I196" s="3">
        <v>19.425000000000004</v>
      </c>
      <c r="J196" s="3">
        <v>0.9625000000000001</v>
      </c>
      <c r="K196" s="3">
        <v>17.5875</v>
      </c>
      <c r="L196" s="281" t="s">
        <v>324</v>
      </c>
    </row>
    <row r="197" spans="1:12" ht="15.75">
      <c r="A197" s="64"/>
      <c r="B197" s="46"/>
      <c r="C197" s="250">
        <f>SUM(C196)</f>
        <v>105</v>
      </c>
      <c r="D197" s="206">
        <f>SUM(D196)</f>
        <v>2.0124999999999997</v>
      </c>
      <c r="E197" s="206">
        <f aca="true" t="shared" si="32" ref="E197:K197">SUM(E196)</f>
        <v>1.1375000000000002</v>
      </c>
      <c r="F197" s="206">
        <f t="shared" si="32"/>
        <v>10.85</v>
      </c>
      <c r="G197" s="9">
        <f t="shared" si="32"/>
        <v>69</v>
      </c>
      <c r="H197" s="206">
        <f t="shared" si="32"/>
        <v>47.075</v>
      </c>
      <c r="I197" s="206">
        <f t="shared" si="32"/>
        <v>19.425000000000004</v>
      </c>
      <c r="J197" s="206">
        <f t="shared" si="32"/>
        <v>0.9625000000000001</v>
      </c>
      <c r="K197" s="206">
        <f t="shared" si="32"/>
        <v>17.5875</v>
      </c>
      <c r="L197" s="281"/>
    </row>
    <row r="198" spans="1:12" ht="15.75">
      <c r="A198" s="40" t="s">
        <v>54</v>
      </c>
      <c r="B198" s="41"/>
      <c r="C198" s="121"/>
      <c r="D198" s="5"/>
      <c r="E198" s="5"/>
      <c r="F198" s="5"/>
      <c r="G198" s="339"/>
      <c r="H198" s="5"/>
      <c r="I198" s="5"/>
      <c r="J198" s="5"/>
      <c r="K198" s="5"/>
      <c r="L198" s="282"/>
    </row>
    <row r="199" spans="1:12" ht="15.75">
      <c r="A199" s="58"/>
      <c r="B199" s="221" t="s">
        <v>370</v>
      </c>
      <c r="C199" s="429" t="s">
        <v>535</v>
      </c>
      <c r="D199" s="39">
        <v>0.22800000000000004</v>
      </c>
      <c r="E199" s="39">
        <v>1.8240000000000003</v>
      </c>
      <c r="F199" s="94">
        <v>0.714</v>
      </c>
      <c r="G199" s="509">
        <v>20.4</v>
      </c>
      <c r="H199" s="94">
        <v>6.540000000000001</v>
      </c>
      <c r="I199" s="94">
        <v>3.9900000000000007</v>
      </c>
      <c r="J199" s="39">
        <v>0.174</v>
      </c>
      <c r="K199" s="39">
        <v>2.85</v>
      </c>
      <c r="L199" s="287" t="s">
        <v>369</v>
      </c>
    </row>
    <row r="200" spans="1:12" ht="15.75">
      <c r="A200" s="65"/>
      <c r="B200" s="228" t="s">
        <v>537</v>
      </c>
      <c r="C200" s="455" t="s">
        <v>493</v>
      </c>
      <c r="D200" s="84">
        <v>4.680866666666667</v>
      </c>
      <c r="E200" s="84">
        <v>3.5979999999999994</v>
      </c>
      <c r="F200" s="84">
        <v>6.366666666666665</v>
      </c>
      <c r="G200" s="401">
        <v>77.4</v>
      </c>
      <c r="H200" s="84">
        <v>37.78</v>
      </c>
      <c r="I200" s="84">
        <v>24.89</v>
      </c>
      <c r="J200" s="84">
        <v>1.2959999999999998</v>
      </c>
      <c r="K200" s="84">
        <v>5.45</v>
      </c>
      <c r="L200" s="287" t="s">
        <v>387</v>
      </c>
    </row>
    <row r="201" spans="1:12" ht="15.75">
      <c r="A201" s="40"/>
      <c r="B201" s="231" t="s">
        <v>511</v>
      </c>
      <c r="C201" s="442" t="s">
        <v>444</v>
      </c>
      <c r="D201" s="69">
        <v>10.8</v>
      </c>
      <c r="E201" s="69">
        <v>10.333333333333334</v>
      </c>
      <c r="F201" s="69">
        <v>3.3333333333333335</v>
      </c>
      <c r="G201" s="493">
        <v>158.4</v>
      </c>
      <c r="H201" s="69">
        <v>24.333333333333332</v>
      </c>
      <c r="I201" s="69">
        <v>22.666666666666668</v>
      </c>
      <c r="J201" s="69">
        <v>0.9583333333333333</v>
      </c>
      <c r="K201" s="69">
        <v>0.5</v>
      </c>
      <c r="L201" s="288" t="s">
        <v>367</v>
      </c>
    </row>
    <row r="202" spans="1:15" ht="15.75">
      <c r="A202" s="58"/>
      <c r="B202" s="227" t="s">
        <v>81</v>
      </c>
      <c r="C202" s="384">
        <v>120</v>
      </c>
      <c r="D202" s="69">
        <v>2.9</v>
      </c>
      <c r="E202" s="69">
        <v>3.1</v>
      </c>
      <c r="F202" s="69">
        <v>18</v>
      </c>
      <c r="G202" s="493">
        <v>112.4</v>
      </c>
      <c r="H202" s="69">
        <v>11.5</v>
      </c>
      <c r="I202" s="69">
        <v>15.8</v>
      </c>
      <c r="J202" s="69">
        <v>1.25</v>
      </c>
      <c r="K202" s="69">
        <v>0</v>
      </c>
      <c r="L202" s="288" t="s">
        <v>41</v>
      </c>
      <c r="M202" s="328"/>
      <c r="N202" s="328"/>
      <c r="O202" s="328"/>
    </row>
    <row r="203" spans="1:12" ht="15.75">
      <c r="A203" s="4"/>
      <c r="B203" s="228" t="s">
        <v>512</v>
      </c>
      <c r="C203" s="448">
        <v>150</v>
      </c>
      <c r="D203" s="22">
        <v>0.1</v>
      </c>
      <c r="E203" s="22">
        <v>0</v>
      </c>
      <c r="F203" s="22">
        <v>14.7</v>
      </c>
      <c r="G203" s="401">
        <v>50.4</v>
      </c>
      <c r="H203" s="22">
        <v>6.5</v>
      </c>
      <c r="I203" s="22">
        <v>2</v>
      </c>
      <c r="J203" s="22">
        <v>0.5</v>
      </c>
      <c r="K203" s="22">
        <v>2.3</v>
      </c>
      <c r="L203" s="279" t="s">
        <v>470</v>
      </c>
    </row>
    <row r="204" spans="1:12" ht="15.75">
      <c r="A204" s="4"/>
      <c r="B204" s="456" t="s">
        <v>104</v>
      </c>
      <c r="C204" s="448">
        <v>14</v>
      </c>
      <c r="D204" s="22">
        <v>1.1</v>
      </c>
      <c r="E204" s="22">
        <v>0.2</v>
      </c>
      <c r="F204" s="22">
        <v>6.9</v>
      </c>
      <c r="G204" s="401">
        <v>34.4</v>
      </c>
      <c r="H204" s="22">
        <v>3.3</v>
      </c>
      <c r="I204" s="22">
        <v>4.7</v>
      </c>
      <c r="J204" s="22">
        <v>0.3</v>
      </c>
      <c r="K204" s="22">
        <v>0</v>
      </c>
      <c r="L204" s="279" t="s">
        <v>22</v>
      </c>
    </row>
    <row r="205" spans="1:15" ht="15.75">
      <c r="A205" s="4"/>
      <c r="B205" s="192" t="s">
        <v>38</v>
      </c>
      <c r="C205" s="442">
        <v>22</v>
      </c>
      <c r="D205" s="22">
        <f>D212*22/18</f>
        <v>1.2222222222222223</v>
      </c>
      <c r="E205" s="22">
        <f aca="true" t="shared" si="33" ref="E205:K205">E212*22/18</f>
        <v>0.24444444444444446</v>
      </c>
      <c r="F205" s="22">
        <f t="shared" si="33"/>
        <v>7.088888888888889</v>
      </c>
      <c r="G205" s="401">
        <v>35.3</v>
      </c>
      <c r="H205" s="22">
        <f t="shared" si="33"/>
        <v>5.98888888888889</v>
      </c>
      <c r="I205" s="22">
        <f t="shared" si="33"/>
        <v>8.066666666666666</v>
      </c>
      <c r="J205" s="22">
        <f t="shared" si="33"/>
        <v>0.7333333333333333</v>
      </c>
      <c r="K205" s="22">
        <f t="shared" si="33"/>
        <v>0</v>
      </c>
      <c r="L205" s="280" t="s">
        <v>22</v>
      </c>
      <c r="M205" s="328"/>
      <c r="N205" s="328"/>
      <c r="O205" s="328"/>
    </row>
    <row r="206" spans="1:12" ht="15.75">
      <c r="A206" s="47" t="s">
        <v>27</v>
      </c>
      <c r="B206" s="47"/>
      <c r="C206" s="449" t="s">
        <v>580</v>
      </c>
      <c r="D206" s="8">
        <f aca="true" t="shared" si="34" ref="D206:K206">SUM(D199:D205)</f>
        <v>21.031088888888892</v>
      </c>
      <c r="E206" s="8">
        <f t="shared" si="34"/>
        <v>19.299777777777777</v>
      </c>
      <c r="F206" s="8">
        <f t="shared" si="34"/>
        <v>57.10288888888889</v>
      </c>
      <c r="G206" s="9">
        <f t="shared" si="34"/>
        <v>488.7</v>
      </c>
      <c r="H206" s="8">
        <f t="shared" si="34"/>
        <v>95.94222222222223</v>
      </c>
      <c r="I206" s="8">
        <f t="shared" si="34"/>
        <v>82.11333333333333</v>
      </c>
      <c r="J206" s="8">
        <f t="shared" si="34"/>
        <v>5.211666666666666</v>
      </c>
      <c r="K206" s="8">
        <f t="shared" si="34"/>
        <v>11.100000000000001</v>
      </c>
      <c r="L206" s="282"/>
    </row>
    <row r="207" spans="1:12" ht="15.75">
      <c r="A207" s="45" t="s">
        <v>55</v>
      </c>
      <c r="B207" s="53"/>
      <c r="C207" s="450"/>
      <c r="D207" s="5"/>
      <c r="E207" s="5"/>
      <c r="F207" s="5"/>
      <c r="G207" s="339"/>
      <c r="H207" s="5"/>
      <c r="I207" s="5"/>
      <c r="J207" s="5"/>
      <c r="K207" s="5"/>
      <c r="L207" s="282"/>
    </row>
    <row r="208" spans="1:12" ht="15.75">
      <c r="A208" s="4"/>
      <c r="B208" s="228" t="s">
        <v>358</v>
      </c>
      <c r="C208" s="442" t="s">
        <v>535</v>
      </c>
      <c r="D208" s="39">
        <v>0.42</v>
      </c>
      <c r="E208" s="39">
        <v>1.62</v>
      </c>
      <c r="F208" s="94">
        <v>1.92</v>
      </c>
      <c r="G208" s="509">
        <v>22.5</v>
      </c>
      <c r="H208" s="94">
        <v>7.1</v>
      </c>
      <c r="I208" s="94">
        <v>5.400000000000001</v>
      </c>
      <c r="J208" s="39">
        <v>0.20000000000000004</v>
      </c>
      <c r="K208" s="39">
        <v>5.599999999999999</v>
      </c>
      <c r="L208" s="287" t="s">
        <v>357</v>
      </c>
    </row>
    <row r="209" spans="1:12" ht="15.75">
      <c r="A209" s="2"/>
      <c r="B209" s="324" t="s">
        <v>545</v>
      </c>
      <c r="C209" s="442" t="s">
        <v>561</v>
      </c>
      <c r="D209" s="86">
        <v>5.38125</v>
      </c>
      <c r="E209" s="86">
        <v>9.081249999999999</v>
      </c>
      <c r="F209" s="86">
        <v>27.715</v>
      </c>
      <c r="G209" s="492">
        <v>215.5</v>
      </c>
      <c r="H209" s="86">
        <v>68.53124999999999</v>
      </c>
      <c r="I209" s="86">
        <v>40.90625</v>
      </c>
      <c r="J209" s="86">
        <v>1.6562500000000004</v>
      </c>
      <c r="K209" s="86">
        <v>37.28499999999999</v>
      </c>
      <c r="L209" s="288" t="s">
        <v>546</v>
      </c>
    </row>
    <row r="210" spans="1:12" ht="15.75">
      <c r="A210" s="45"/>
      <c r="B210" s="220" t="s">
        <v>85</v>
      </c>
      <c r="C210" s="439" t="s">
        <v>566</v>
      </c>
      <c r="D210" s="22">
        <v>0.117</v>
      </c>
      <c r="E210" s="22">
        <v>0.018000000000000002</v>
      </c>
      <c r="F210" s="22">
        <v>3.9600000000000004</v>
      </c>
      <c r="G210" s="401">
        <v>15.5</v>
      </c>
      <c r="H210" s="22">
        <v>12.78</v>
      </c>
      <c r="I210" s="22">
        <v>2.16</v>
      </c>
      <c r="J210" s="22">
        <v>0.27</v>
      </c>
      <c r="K210" s="22">
        <v>2.826</v>
      </c>
      <c r="L210" s="311" t="s">
        <v>494</v>
      </c>
    </row>
    <row r="211" spans="1:12" ht="15.75">
      <c r="A211" s="61"/>
      <c r="B211" s="226" t="s">
        <v>359</v>
      </c>
      <c r="C211" s="454">
        <v>50</v>
      </c>
      <c r="D211" s="25">
        <v>3.88</v>
      </c>
      <c r="E211" s="25">
        <v>2.36</v>
      </c>
      <c r="F211" s="25">
        <v>29.2</v>
      </c>
      <c r="G211" s="505">
        <v>140.5</v>
      </c>
      <c r="H211" s="25">
        <v>11</v>
      </c>
      <c r="I211" s="25">
        <v>14.5</v>
      </c>
      <c r="J211" s="25">
        <v>0.69</v>
      </c>
      <c r="K211" s="25">
        <v>0</v>
      </c>
      <c r="L211" s="302" t="s">
        <v>360</v>
      </c>
    </row>
    <row r="212" spans="1:12" ht="15.75">
      <c r="A212" s="58"/>
      <c r="B212" s="326" t="s">
        <v>38</v>
      </c>
      <c r="C212" s="443">
        <v>14</v>
      </c>
      <c r="D212" s="93">
        <v>1</v>
      </c>
      <c r="E212" s="93">
        <v>0.2</v>
      </c>
      <c r="F212" s="93">
        <v>5.8</v>
      </c>
      <c r="G212" s="490">
        <v>28.5</v>
      </c>
      <c r="H212" s="93">
        <v>4.9</v>
      </c>
      <c r="I212" s="93">
        <v>6.6</v>
      </c>
      <c r="J212" s="93">
        <v>0.6</v>
      </c>
      <c r="K212" s="93">
        <v>0</v>
      </c>
      <c r="L212" s="280" t="s">
        <v>22</v>
      </c>
    </row>
    <row r="213" spans="1:12" ht="15.75">
      <c r="A213" s="44" t="s">
        <v>56</v>
      </c>
      <c r="B213" s="47"/>
      <c r="C213" s="449">
        <v>462</v>
      </c>
      <c r="D213" s="8">
        <f aca="true" t="shared" si="35" ref="D213:K213">SUM(D208:D212)</f>
        <v>10.79825</v>
      </c>
      <c r="E213" s="8">
        <f t="shared" si="35"/>
        <v>13.279249999999998</v>
      </c>
      <c r="F213" s="8">
        <f t="shared" si="35"/>
        <v>68.595</v>
      </c>
      <c r="G213" s="9">
        <f t="shared" si="35"/>
        <v>422.5</v>
      </c>
      <c r="H213" s="8">
        <f t="shared" si="35"/>
        <v>104.31124999999999</v>
      </c>
      <c r="I213" s="8">
        <f t="shared" si="35"/>
        <v>69.56625</v>
      </c>
      <c r="J213" s="8">
        <f t="shared" si="35"/>
        <v>3.4162500000000007</v>
      </c>
      <c r="K213" s="8">
        <f t="shared" si="35"/>
        <v>45.71099999999999</v>
      </c>
      <c r="L213" s="282"/>
    </row>
    <row r="214" spans="1:12" ht="15.75">
      <c r="A214" s="55" t="s">
        <v>65</v>
      </c>
      <c r="B214" s="56"/>
      <c r="C214" s="9"/>
      <c r="D214" s="8">
        <f aca="true" t="shared" si="36" ref="D214:K214">SUM(D194,D197,D206,D213)</f>
        <v>45.513672222222226</v>
      </c>
      <c r="E214" s="8">
        <f t="shared" si="36"/>
        <v>43.47902777777777</v>
      </c>
      <c r="F214" s="8">
        <f t="shared" si="36"/>
        <v>172.92605555555556</v>
      </c>
      <c r="G214" s="9">
        <f t="shared" si="36"/>
        <v>1260.3666666666668</v>
      </c>
      <c r="H214" s="8">
        <f t="shared" si="36"/>
        <v>506.19236111111104</v>
      </c>
      <c r="I214" s="8">
        <f t="shared" si="36"/>
        <v>235.9129166666667</v>
      </c>
      <c r="J214" s="8">
        <f t="shared" si="36"/>
        <v>11.821527777777778</v>
      </c>
      <c r="K214" s="8">
        <f t="shared" si="36"/>
        <v>76.47538888888889</v>
      </c>
      <c r="L214" s="282"/>
    </row>
    <row r="215" spans="1:12" ht="15.75">
      <c r="A215" s="45"/>
      <c r="B215" s="583"/>
      <c r="C215" s="584"/>
      <c r="D215" s="584"/>
      <c r="E215" s="584"/>
      <c r="F215" s="584"/>
      <c r="G215" s="584"/>
      <c r="H215" s="584"/>
      <c r="I215" s="584"/>
      <c r="J215" s="584"/>
      <c r="K215" s="585"/>
      <c r="L215" s="282"/>
    </row>
    <row r="216" spans="1:12" ht="15.75">
      <c r="A216" s="55"/>
      <c r="B216" s="586" t="s">
        <v>71</v>
      </c>
      <c r="C216" s="586"/>
      <c r="D216" s="586"/>
      <c r="E216" s="586"/>
      <c r="F216" s="586"/>
      <c r="G216" s="586"/>
      <c r="H216" s="586"/>
      <c r="I216" s="586"/>
      <c r="J216" s="586"/>
      <c r="K216" s="586"/>
      <c r="L216" s="282"/>
    </row>
    <row r="217" spans="1:12" ht="15.75">
      <c r="A217" s="40" t="s">
        <v>52</v>
      </c>
      <c r="B217" s="53"/>
      <c r="C217" s="124"/>
      <c r="D217" s="12"/>
      <c r="E217" s="12"/>
      <c r="F217" s="12"/>
      <c r="G217" s="121"/>
      <c r="H217" s="12"/>
      <c r="I217" s="12"/>
      <c r="J217" s="12"/>
      <c r="K217" s="12"/>
      <c r="L217" s="305"/>
    </row>
    <row r="218" spans="1:12" ht="15.75">
      <c r="A218" s="58"/>
      <c r="B218" s="210" t="s">
        <v>374</v>
      </c>
      <c r="C218" s="100">
        <v>40</v>
      </c>
      <c r="D218" s="99">
        <v>0.44</v>
      </c>
      <c r="E218" s="99">
        <v>0</v>
      </c>
      <c r="F218" s="99">
        <v>2</v>
      </c>
      <c r="G218" s="494">
        <v>6.4</v>
      </c>
      <c r="H218" s="99">
        <v>5.600000000000001</v>
      </c>
      <c r="I218" s="99">
        <v>8</v>
      </c>
      <c r="J218" s="99">
        <v>0.3600000000000001</v>
      </c>
      <c r="K218" s="99">
        <v>10</v>
      </c>
      <c r="L218" s="292" t="s">
        <v>142</v>
      </c>
    </row>
    <row r="219" spans="1:12" ht="15.75">
      <c r="A219" s="4"/>
      <c r="B219" s="221" t="s">
        <v>372</v>
      </c>
      <c r="C219" s="28">
        <v>100</v>
      </c>
      <c r="D219" s="34">
        <v>8.384615384615385</v>
      </c>
      <c r="E219" s="34">
        <v>12.3</v>
      </c>
      <c r="F219" s="34">
        <v>6.538461538461537</v>
      </c>
      <c r="G219" s="490">
        <v>190</v>
      </c>
      <c r="H219" s="95">
        <v>85.6923076923077</v>
      </c>
      <c r="I219" s="95">
        <v>1.6923076923076923</v>
      </c>
      <c r="J219" s="24">
        <v>14.538461538461538</v>
      </c>
      <c r="K219" s="34">
        <v>1.6923076923076923</v>
      </c>
      <c r="L219" s="287" t="s">
        <v>373</v>
      </c>
    </row>
    <row r="220" spans="1:12" ht="15.75">
      <c r="A220" s="4"/>
      <c r="B220" s="431" t="s">
        <v>336</v>
      </c>
      <c r="C220" s="399">
        <v>180</v>
      </c>
      <c r="D220" s="68">
        <v>0</v>
      </c>
      <c r="E220" s="68">
        <v>0</v>
      </c>
      <c r="F220" s="116">
        <v>4.8</v>
      </c>
      <c r="G220" s="467">
        <v>16</v>
      </c>
      <c r="H220" s="116">
        <v>9</v>
      </c>
      <c r="I220" s="116">
        <v>1.2</v>
      </c>
      <c r="J220" s="116">
        <v>0.3</v>
      </c>
      <c r="K220" s="116">
        <v>0</v>
      </c>
      <c r="L220" s="295" t="s">
        <v>491</v>
      </c>
    </row>
    <row r="221" spans="1:12" ht="15.75">
      <c r="A221" s="40"/>
      <c r="B221" s="46" t="s">
        <v>36</v>
      </c>
      <c r="C221" s="386">
        <v>25</v>
      </c>
      <c r="D221" s="93">
        <v>1.9</v>
      </c>
      <c r="E221" s="93">
        <v>0.8</v>
      </c>
      <c r="F221" s="93">
        <v>12.8</v>
      </c>
      <c r="G221" s="490">
        <v>66</v>
      </c>
      <c r="H221" s="93">
        <v>8.8</v>
      </c>
      <c r="I221" s="93">
        <v>11.8</v>
      </c>
      <c r="J221" s="93">
        <v>1</v>
      </c>
      <c r="K221" s="93">
        <v>0</v>
      </c>
      <c r="L221" s="280" t="s">
        <v>7</v>
      </c>
    </row>
    <row r="222" spans="1:12" ht="15.75">
      <c r="A222" s="45" t="s">
        <v>23</v>
      </c>
      <c r="B222" s="47"/>
      <c r="C222" s="250">
        <f>SUM(C218:C221)</f>
        <v>345</v>
      </c>
      <c r="D222" s="8">
        <f aca="true" t="shared" si="37" ref="D222:K222">SUM(D218:D221)</f>
        <v>10.724615384615385</v>
      </c>
      <c r="E222" s="8">
        <f t="shared" si="37"/>
        <v>13.100000000000001</v>
      </c>
      <c r="F222" s="8">
        <f t="shared" si="37"/>
        <v>26.138461538461538</v>
      </c>
      <c r="G222" s="9">
        <f t="shared" si="37"/>
        <v>278.4</v>
      </c>
      <c r="H222" s="8">
        <f t="shared" si="37"/>
        <v>109.0923076923077</v>
      </c>
      <c r="I222" s="8">
        <f t="shared" si="37"/>
        <v>22.692307692307693</v>
      </c>
      <c r="J222" s="8">
        <f t="shared" si="37"/>
        <v>16.198461538461537</v>
      </c>
      <c r="K222" s="8">
        <f t="shared" si="37"/>
        <v>11.692307692307692</v>
      </c>
      <c r="L222" s="305"/>
    </row>
    <row r="223" spans="1:12" ht="15.75">
      <c r="A223" s="76" t="s">
        <v>53</v>
      </c>
      <c r="B223" s="46"/>
      <c r="C223" s="124"/>
      <c r="D223" s="3"/>
      <c r="E223" s="3"/>
      <c r="F223" s="3"/>
      <c r="G223" s="491"/>
      <c r="H223" s="3"/>
      <c r="I223" s="3"/>
      <c r="J223" s="3"/>
      <c r="K223" s="3"/>
      <c r="L223" s="281"/>
    </row>
    <row r="224" spans="1:12" ht="15.75">
      <c r="A224" s="58"/>
      <c r="B224" s="46" t="s">
        <v>78</v>
      </c>
      <c r="C224" s="124">
        <v>160</v>
      </c>
      <c r="D224" s="3">
        <v>0.8533333333333334</v>
      </c>
      <c r="E224" s="3">
        <v>0</v>
      </c>
      <c r="F224" s="3">
        <v>16.213333333333335</v>
      </c>
      <c r="G224" s="124">
        <v>73</v>
      </c>
      <c r="H224" s="3">
        <v>11.2</v>
      </c>
      <c r="I224" s="3">
        <v>6.4</v>
      </c>
      <c r="J224" s="3">
        <v>2.24</v>
      </c>
      <c r="K224" s="3">
        <v>3.2</v>
      </c>
      <c r="L224" s="281" t="s">
        <v>13</v>
      </c>
    </row>
    <row r="225" spans="1:12" ht="15.75">
      <c r="A225" s="58"/>
      <c r="B225" s="42"/>
      <c r="C225" s="9">
        <f aca="true" t="shared" si="38" ref="C225:K225">SUM(C224)</f>
        <v>160</v>
      </c>
      <c r="D225" s="8">
        <f t="shared" si="38"/>
        <v>0.8533333333333334</v>
      </c>
      <c r="E225" s="8">
        <f t="shared" si="38"/>
        <v>0</v>
      </c>
      <c r="F225" s="8">
        <f t="shared" si="38"/>
        <v>16.213333333333335</v>
      </c>
      <c r="G225" s="9">
        <f t="shared" si="38"/>
        <v>73</v>
      </c>
      <c r="H225" s="8">
        <f t="shared" si="38"/>
        <v>11.2</v>
      </c>
      <c r="I225" s="8">
        <f t="shared" si="38"/>
        <v>6.4</v>
      </c>
      <c r="J225" s="8">
        <f t="shared" si="38"/>
        <v>2.24</v>
      </c>
      <c r="K225" s="8">
        <f t="shared" si="38"/>
        <v>3.2</v>
      </c>
      <c r="L225" s="298"/>
    </row>
    <row r="226" spans="1:12" ht="15.75">
      <c r="A226" s="65" t="s">
        <v>54</v>
      </c>
      <c r="B226" s="53"/>
      <c r="C226" s="124"/>
      <c r="D226" s="3"/>
      <c r="E226" s="3"/>
      <c r="F226" s="3"/>
      <c r="G226" s="491"/>
      <c r="H226" s="3"/>
      <c r="I226" s="3"/>
      <c r="J226" s="3"/>
      <c r="K226" s="3"/>
      <c r="L226" s="305"/>
    </row>
    <row r="227" spans="1:12" ht="15.75">
      <c r="A227" s="4"/>
      <c r="B227" s="221" t="s">
        <v>364</v>
      </c>
      <c r="C227" s="429" t="s">
        <v>535</v>
      </c>
      <c r="D227" s="39">
        <v>0.54</v>
      </c>
      <c r="E227" s="39">
        <v>1.62</v>
      </c>
      <c r="F227" s="39">
        <v>3.42</v>
      </c>
      <c r="G227" s="74">
        <v>32.2</v>
      </c>
      <c r="H227" s="24">
        <v>0</v>
      </c>
      <c r="I227" s="24">
        <v>0</v>
      </c>
      <c r="J227" s="24">
        <v>0</v>
      </c>
      <c r="K227" s="39">
        <v>0</v>
      </c>
      <c r="L227" s="287" t="s">
        <v>347</v>
      </c>
    </row>
    <row r="228" spans="1:12" ht="15.75">
      <c r="A228" s="4"/>
      <c r="B228" s="226" t="s">
        <v>530</v>
      </c>
      <c r="C228" s="429" t="s">
        <v>536</v>
      </c>
      <c r="D228" s="22">
        <v>4.4</v>
      </c>
      <c r="E228" s="22">
        <v>3.3</v>
      </c>
      <c r="F228" s="22">
        <v>7.3</v>
      </c>
      <c r="G228" s="401">
        <v>77.4</v>
      </c>
      <c r="H228" s="39">
        <v>12.9</v>
      </c>
      <c r="I228" s="39">
        <v>17.7</v>
      </c>
      <c r="J228" s="39">
        <v>0.6</v>
      </c>
      <c r="K228" s="22">
        <v>0.3</v>
      </c>
      <c r="L228" s="287" t="s">
        <v>532</v>
      </c>
    </row>
    <row r="229" spans="1:12" ht="15.75">
      <c r="A229" s="4"/>
      <c r="B229" s="226" t="s">
        <v>62</v>
      </c>
      <c r="C229" s="430">
        <v>130</v>
      </c>
      <c r="D229" s="22">
        <v>11.6</v>
      </c>
      <c r="E229" s="22">
        <v>6.413333333333333</v>
      </c>
      <c r="F229" s="22">
        <v>17.766666666666666</v>
      </c>
      <c r="G229" s="401">
        <v>193.4</v>
      </c>
      <c r="H229" s="22">
        <v>22.1</v>
      </c>
      <c r="I229" s="22">
        <v>24.873333333333335</v>
      </c>
      <c r="J229" s="22">
        <v>5.113333333333333</v>
      </c>
      <c r="K229" s="22">
        <v>7.54</v>
      </c>
      <c r="L229" s="287" t="s">
        <v>363</v>
      </c>
    </row>
    <row r="230" spans="1:12" ht="15.75">
      <c r="A230" s="4"/>
      <c r="B230" s="244" t="s">
        <v>129</v>
      </c>
      <c r="C230" s="457">
        <v>30</v>
      </c>
      <c r="D230" s="31">
        <v>0.36</v>
      </c>
      <c r="E230" s="31">
        <v>1.28</v>
      </c>
      <c r="F230" s="31">
        <v>2.4</v>
      </c>
      <c r="G230" s="510">
        <v>23.4</v>
      </c>
      <c r="H230" s="31">
        <v>4.8</v>
      </c>
      <c r="I230" s="31">
        <v>3.4</v>
      </c>
      <c r="J230" s="31">
        <v>0.2</v>
      </c>
      <c r="K230" s="31">
        <v>0.7</v>
      </c>
      <c r="L230" s="312" t="s">
        <v>130</v>
      </c>
    </row>
    <row r="231" spans="1:12" ht="15.75">
      <c r="A231" s="4"/>
      <c r="B231" s="60" t="s">
        <v>516</v>
      </c>
      <c r="C231" s="430">
        <v>150</v>
      </c>
      <c r="D231" s="36">
        <v>0.51</v>
      </c>
      <c r="E231" s="36">
        <v>0.21</v>
      </c>
      <c r="F231" s="36">
        <v>18.1</v>
      </c>
      <c r="G231" s="493">
        <v>61.4</v>
      </c>
      <c r="H231" s="36">
        <v>16</v>
      </c>
      <c r="I231" s="36">
        <v>2.6</v>
      </c>
      <c r="J231" s="36">
        <v>0.5</v>
      </c>
      <c r="K231" s="36">
        <v>75</v>
      </c>
      <c r="L231" s="289" t="s">
        <v>15</v>
      </c>
    </row>
    <row r="232" spans="1:12" ht="15.75">
      <c r="A232" s="4"/>
      <c r="B232" s="192" t="s">
        <v>37</v>
      </c>
      <c r="C232" s="443">
        <v>14</v>
      </c>
      <c r="D232" s="93">
        <v>1.1</v>
      </c>
      <c r="E232" s="93">
        <v>0.2</v>
      </c>
      <c r="F232" s="93">
        <v>6.9</v>
      </c>
      <c r="G232" s="490">
        <v>34</v>
      </c>
      <c r="H232" s="93">
        <v>3.3</v>
      </c>
      <c r="I232" s="93">
        <v>4.7</v>
      </c>
      <c r="J232" s="93">
        <v>0.3</v>
      </c>
      <c r="K232" s="93">
        <v>0</v>
      </c>
      <c r="L232" s="280" t="s">
        <v>21</v>
      </c>
    </row>
    <row r="233" spans="1:12" ht="15.75">
      <c r="A233" s="4"/>
      <c r="B233" s="326" t="s">
        <v>38</v>
      </c>
      <c r="C233" s="429">
        <v>34</v>
      </c>
      <c r="D233" s="22">
        <v>2.3</v>
      </c>
      <c r="E233" s="22">
        <v>0.4</v>
      </c>
      <c r="F233" s="22">
        <v>13.5</v>
      </c>
      <c r="G233" s="401">
        <v>68</v>
      </c>
      <c r="H233" s="22">
        <v>16</v>
      </c>
      <c r="I233" s="22">
        <v>16.7</v>
      </c>
      <c r="J233" s="22">
        <v>1.3</v>
      </c>
      <c r="K233" s="22">
        <v>0</v>
      </c>
      <c r="L233" s="280" t="s">
        <v>22</v>
      </c>
    </row>
    <row r="234" spans="1:12" ht="15.75">
      <c r="A234" s="47" t="s">
        <v>27</v>
      </c>
      <c r="B234" s="47"/>
      <c r="C234" s="468">
        <v>551</v>
      </c>
      <c r="D234" s="8">
        <f aca="true" t="shared" si="39" ref="D234:K234">SUM(D227:D233)</f>
        <v>20.810000000000002</v>
      </c>
      <c r="E234" s="8">
        <f t="shared" si="39"/>
        <v>13.423333333333332</v>
      </c>
      <c r="F234" s="8">
        <f t="shared" si="39"/>
        <v>69.38666666666666</v>
      </c>
      <c r="G234" s="9">
        <f t="shared" si="39"/>
        <v>489.79999999999995</v>
      </c>
      <c r="H234" s="8">
        <f t="shared" si="39"/>
        <v>75.1</v>
      </c>
      <c r="I234" s="8">
        <f t="shared" si="39"/>
        <v>69.97333333333334</v>
      </c>
      <c r="J234" s="8">
        <f t="shared" si="39"/>
        <v>8.013333333333334</v>
      </c>
      <c r="K234" s="8">
        <f t="shared" si="39"/>
        <v>83.53999999999999</v>
      </c>
      <c r="L234" s="305"/>
    </row>
    <row r="235" spans="1:12" ht="15.75">
      <c r="A235" s="45" t="s">
        <v>55</v>
      </c>
      <c r="B235" s="53"/>
      <c r="C235" s="450"/>
      <c r="D235" s="3"/>
      <c r="E235" s="3"/>
      <c r="F235" s="3"/>
      <c r="G235" s="491"/>
      <c r="H235" s="3"/>
      <c r="I235" s="3"/>
      <c r="J235" s="3"/>
      <c r="K235" s="3"/>
      <c r="L235" s="305"/>
    </row>
    <row r="236" spans="1:12" ht="15.75">
      <c r="A236" s="4"/>
      <c r="B236" s="228" t="s">
        <v>575</v>
      </c>
      <c r="C236" s="442" t="s">
        <v>568</v>
      </c>
      <c r="D236" s="39">
        <v>1.36</v>
      </c>
      <c r="E236" s="39">
        <v>3.2</v>
      </c>
      <c r="F236" s="39">
        <v>1.2</v>
      </c>
      <c r="G236" s="74">
        <v>26</v>
      </c>
      <c r="H236" s="39">
        <v>11.8</v>
      </c>
      <c r="I236" s="39">
        <v>4.24</v>
      </c>
      <c r="J236" s="39">
        <v>0.4</v>
      </c>
      <c r="K236" s="39">
        <v>9.6</v>
      </c>
      <c r="L236" s="287" t="s">
        <v>441</v>
      </c>
    </row>
    <row r="237" spans="1:12" ht="15.75">
      <c r="A237" s="4"/>
      <c r="B237" s="232" t="s">
        <v>379</v>
      </c>
      <c r="C237" s="458">
        <v>130</v>
      </c>
      <c r="D237" s="105">
        <v>11.8</v>
      </c>
      <c r="E237" s="105">
        <v>14.17</v>
      </c>
      <c r="F237" s="105">
        <v>22.619999999999997</v>
      </c>
      <c r="G237" s="495">
        <v>160</v>
      </c>
      <c r="H237" s="105">
        <v>151.32000000000002</v>
      </c>
      <c r="I237" s="105">
        <v>34.96999999999999</v>
      </c>
      <c r="J237" s="105">
        <v>1.04</v>
      </c>
      <c r="K237" s="105">
        <v>1.95</v>
      </c>
      <c r="L237" s="300" t="s">
        <v>424</v>
      </c>
    </row>
    <row r="238" spans="1:12" ht="15.75">
      <c r="A238" s="4"/>
      <c r="B238" s="226" t="s">
        <v>341</v>
      </c>
      <c r="C238" s="469">
        <v>35</v>
      </c>
      <c r="D238" s="22">
        <v>2.45</v>
      </c>
      <c r="E238" s="22">
        <v>0.2</v>
      </c>
      <c r="F238" s="22">
        <v>11.4</v>
      </c>
      <c r="G238" s="401">
        <v>31.5</v>
      </c>
      <c r="H238" s="22">
        <v>0</v>
      </c>
      <c r="I238" s="22">
        <v>0</v>
      </c>
      <c r="J238" s="22">
        <v>0</v>
      </c>
      <c r="K238" s="22">
        <v>0</v>
      </c>
      <c r="L238" s="287" t="s">
        <v>3</v>
      </c>
    </row>
    <row r="239" spans="1:12" ht="15.75">
      <c r="A239" s="4"/>
      <c r="B239" s="104" t="s">
        <v>377</v>
      </c>
      <c r="C239" s="454">
        <v>150</v>
      </c>
      <c r="D239" s="25">
        <v>4.35</v>
      </c>
      <c r="E239" s="25">
        <v>3.75</v>
      </c>
      <c r="F239" s="25">
        <v>6.3</v>
      </c>
      <c r="G239" s="505">
        <v>76</v>
      </c>
      <c r="H239" s="25">
        <v>186</v>
      </c>
      <c r="I239" s="25">
        <v>21</v>
      </c>
      <c r="J239" s="25">
        <v>0.2</v>
      </c>
      <c r="K239" s="102">
        <v>0.45</v>
      </c>
      <c r="L239" s="302" t="s">
        <v>11</v>
      </c>
    </row>
    <row r="240" spans="1:12" ht="15.75">
      <c r="A240" s="4"/>
      <c r="B240" s="263" t="s">
        <v>381</v>
      </c>
      <c r="C240" s="454">
        <v>110</v>
      </c>
      <c r="D240" s="25">
        <v>3</v>
      </c>
      <c r="E240" s="25">
        <v>0</v>
      </c>
      <c r="F240" s="25">
        <v>13</v>
      </c>
      <c r="G240" s="505">
        <v>90</v>
      </c>
      <c r="H240" s="25">
        <v>130</v>
      </c>
      <c r="I240" s="25">
        <v>14.3</v>
      </c>
      <c r="J240" s="25">
        <v>0.11</v>
      </c>
      <c r="K240" s="102">
        <v>0.7</v>
      </c>
      <c r="L240" s="302" t="s">
        <v>3</v>
      </c>
    </row>
    <row r="241" spans="1:12" ht="15.75">
      <c r="A241" s="4"/>
      <c r="B241" s="326" t="s">
        <v>37</v>
      </c>
      <c r="C241" s="443">
        <v>15</v>
      </c>
      <c r="D241" s="93">
        <v>0</v>
      </c>
      <c r="E241" s="93">
        <v>0</v>
      </c>
      <c r="F241" s="93">
        <v>7.4</v>
      </c>
      <c r="G241" s="490">
        <v>35.7</v>
      </c>
      <c r="H241" s="93">
        <v>0</v>
      </c>
      <c r="I241" s="93">
        <v>0</v>
      </c>
      <c r="J241" s="93">
        <v>0</v>
      </c>
      <c r="K241" s="93">
        <v>0</v>
      </c>
      <c r="L241" s="280" t="s">
        <v>21</v>
      </c>
    </row>
    <row r="242" spans="1:12" ht="15.75">
      <c r="A242" s="45" t="s">
        <v>56</v>
      </c>
      <c r="B242" s="47"/>
      <c r="C242" s="468">
        <v>481</v>
      </c>
      <c r="D242" s="8">
        <f aca="true" t="shared" si="40" ref="D242:K242">SUM(D236:D241)</f>
        <v>22.96</v>
      </c>
      <c r="E242" s="8">
        <f t="shared" si="40"/>
        <v>21.32</v>
      </c>
      <c r="F242" s="8">
        <f t="shared" si="40"/>
        <v>61.919999999999995</v>
      </c>
      <c r="G242" s="9">
        <f>SUM(G236:G241)</f>
        <v>419.2</v>
      </c>
      <c r="H242" s="8">
        <f t="shared" si="40"/>
        <v>479.12</v>
      </c>
      <c r="I242" s="8">
        <f t="shared" si="40"/>
        <v>74.50999999999999</v>
      </c>
      <c r="J242" s="8">
        <f t="shared" si="40"/>
        <v>1.75</v>
      </c>
      <c r="K242" s="8">
        <f t="shared" si="40"/>
        <v>12.699999999999998</v>
      </c>
      <c r="L242" s="305"/>
    </row>
    <row r="243" spans="1:12" ht="15.75">
      <c r="A243" s="55" t="s">
        <v>66</v>
      </c>
      <c r="B243" s="47"/>
      <c r="C243" s="9"/>
      <c r="D243" s="8">
        <f aca="true" t="shared" si="41" ref="D243:K243">SUM(D222,D225,D234,D242)</f>
        <v>55.34794871794872</v>
      </c>
      <c r="E243" s="8">
        <f t="shared" si="41"/>
        <v>47.843333333333334</v>
      </c>
      <c r="F243" s="8">
        <f t="shared" si="41"/>
        <v>173.65846153846152</v>
      </c>
      <c r="G243" s="9">
        <f t="shared" si="41"/>
        <v>1260.3999999999999</v>
      </c>
      <c r="H243" s="8">
        <f t="shared" si="41"/>
        <v>674.5123076923077</v>
      </c>
      <c r="I243" s="8">
        <f t="shared" si="41"/>
        <v>173.57564102564103</v>
      </c>
      <c r="J243" s="8">
        <f t="shared" si="41"/>
        <v>28.201794871794874</v>
      </c>
      <c r="K243" s="8">
        <f t="shared" si="41"/>
        <v>111.13230769230769</v>
      </c>
      <c r="L243" s="305"/>
    </row>
    <row r="244" spans="1:12" ht="15.75">
      <c r="A244" s="4"/>
      <c r="B244" s="583"/>
      <c r="C244" s="584"/>
      <c r="D244" s="584"/>
      <c r="E244" s="584"/>
      <c r="F244" s="584"/>
      <c r="G244" s="584"/>
      <c r="H244" s="584"/>
      <c r="I244" s="584"/>
      <c r="J244" s="584"/>
      <c r="K244" s="585"/>
      <c r="L244" s="282"/>
    </row>
    <row r="245" spans="1:12" ht="15.75">
      <c r="A245" s="4"/>
      <c r="B245" s="587" t="s">
        <v>70</v>
      </c>
      <c r="C245" s="587"/>
      <c r="D245" s="587"/>
      <c r="E245" s="587"/>
      <c r="F245" s="587"/>
      <c r="G245" s="587"/>
      <c r="H245" s="587"/>
      <c r="I245" s="587"/>
      <c r="J245" s="587"/>
      <c r="K245" s="587"/>
      <c r="L245" s="282"/>
    </row>
    <row r="246" spans="1:12" ht="15.75">
      <c r="A246" s="40" t="s">
        <v>52</v>
      </c>
      <c r="B246" s="207"/>
      <c r="C246" s="403"/>
      <c r="D246" s="208"/>
      <c r="E246" s="208"/>
      <c r="F246" s="208"/>
      <c r="G246" s="403"/>
      <c r="H246" s="208"/>
      <c r="I246" s="208"/>
      <c r="J246" s="208"/>
      <c r="K246" s="208"/>
      <c r="L246" s="313"/>
    </row>
    <row r="247" spans="1:12" ht="15.75">
      <c r="A247" s="58"/>
      <c r="B247" s="46" t="s">
        <v>484</v>
      </c>
      <c r="C247" s="121">
        <v>5</v>
      </c>
      <c r="D247" s="5">
        <v>0.04</v>
      </c>
      <c r="E247" s="5">
        <v>1.48</v>
      </c>
      <c r="F247" s="128">
        <v>0.65</v>
      </c>
      <c r="G247" s="496">
        <v>32</v>
      </c>
      <c r="H247" s="128">
        <v>4</v>
      </c>
      <c r="I247" s="128">
        <v>0</v>
      </c>
      <c r="J247" s="128">
        <v>0</v>
      </c>
      <c r="K247" s="5">
        <v>0</v>
      </c>
      <c r="L247" s="277" t="s">
        <v>485</v>
      </c>
    </row>
    <row r="248" spans="1:12" ht="15.75">
      <c r="A248" s="58"/>
      <c r="B248" s="66" t="s">
        <v>112</v>
      </c>
      <c r="C248" s="121">
        <v>150</v>
      </c>
      <c r="D248" s="5">
        <v>3.588</v>
      </c>
      <c r="E248" s="5">
        <v>3.356</v>
      </c>
      <c r="F248" s="128">
        <v>12.405</v>
      </c>
      <c r="G248" s="496">
        <v>89.5</v>
      </c>
      <c r="H248" s="128">
        <v>117.92</v>
      </c>
      <c r="I248" s="128">
        <v>17.3</v>
      </c>
      <c r="J248" s="128">
        <v>0.19</v>
      </c>
      <c r="K248" s="5">
        <v>0.7</v>
      </c>
      <c r="L248" s="277" t="s">
        <v>497</v>
      </c>
    </row>
    <row r="249" spans="1:12" ht="15.75">
      <c r="A249" s="202"/>
      <c r="B249" s="245" t="s">
        <v>393</v>
      </c>
      <c r="C249" s="275">
        <v>170</v>
      </c>
      <c r="D249" s="212">
        <v>2.499</v>
      </c>
      <c r="E249" s="212">
        <v>1.6915000000000002</v>
      </c>
      <c r="F249" s="212">
        <v>15.866666666666667</v>
      </c>
      <c r="G249" s="511">
        <v>95.5</v>
      </c>
      <c r="H249" s="212">
        <v>109.46111111111111</v>
      </c>
      <c r="I249" s="212">
        <v>10.955555555555556</v>
      </c>
      <c r="J249" s="212">
        <v>0.0661111111111111</v>
      </c>
      <c r="K249" s="212">
        <v>0.3211111111111111</v>
      </c>
      <c r="L249" s="314" t="s">
        <v>394</v>
      </c>
    </row>
    <row r="250" spans="1:12" ht="15.75">
      <c r="A250" s="13"/>
      <c r="B250" s="246" t="s">
        <v>36</v>
      </c>
      <c r="C250" s="271">
        <v>25</v>
      </c>
      <c r="D250" s="116">
        <v>1.9</v>
      </c>
      <c r="E250" s="116">
        <v>0.8</v>
      </c>
      <c r="F250" s="116">
        <v>12.8</v>
      </c>
      <c r="G250" s="467">
        <v>65.5</v>
      </c>
      <c r="H250" s="116">
        <v>8.8</v>
      </c>
      <c r="I250" s="116">
        <v>11.8</v>
      </c>
      <c r="J250" s="116">
        <v>1</v>
      </c>
      <c r="K250" s="116">
        <v>0</v>
      </c>
      <c r="L250" s="315" t="s">
        <v>7</v>
      </c>
    </row>
    <row r="251" spans="1:12" ht="15.75">
      <c r="A251" s="45" t="s">
        <v>23</v>
      </c>
      <c r="B251" s="47"/>
      <c r="C251" s="9">
        <f>SUM(C247:C250)</f>
        <v>350</v>
      </c>
      <c r="D251" s="8">
        <f>SUM(D247:D250)</f>
        <v>8.027000000000001</v>
      </c>
      <c r="E251" s="8">
        <f aca="true" t="shared" si="42" ref="E251:K251">SUM(E247:E250)</f>
        <v>7.327500000000001</v>
      </c>
      <c r="F251" s="8">
        <f t="shared" si="42"/>
        <v>41.721666666666664</v>
      </c>
      <c r="G251" s="9">
        <f t="shared" si="42"/>
        <v>282.5</v>
      </c>
      <c r="H251" s="8">
        <f t="shared" si="42"/>
        <v>240.18111111111114</v>
      </c>
      <c r="I251" s="8">
        <f t="shared" si="42"/>
        <v>40.05555555555556</v>
      </c>
      <c r="J251" s="8">
        <f t="shared" si="42"/>
        <v>1.2561111111111112</v>
      </c>
      <c r="K251" s="8">
        <f t="shared" si="42"/>
        <v>1.021111111111111</v>
      </c>
      <c r="L251" s="305"/>
    </row>
    <row r="252" spans="1:12" ht="15.75">
      <c r="A252" s="77" t="s">
        <v>53</v>
      </c>
      <c r="B252" s="1"/>
      <c r="C252" s="121"/>
      <c r="D252" s="5"/>
      <c r="E252" s="5"/>
      <c r="F252" s="5"/>
      <c r="G252" s="339"/>
      <c r="H252" s="5"/>
      <c r="I252" s="5"/>
      <c r="J252" s="5"/>
      <c r="K252" s="5"/>
      <c r="L252" s="282"/>
    </row>
    <row r="253" spans="1:12" ht="15.75">
      <c r="A253" s="58"/>
      <c r="B253" s="16"/>
      <c r="C253" s="121"/>
      <c r="D253" s="5"/>
      <c r="E253" s="5"/>
      <c r="F253" s="5"/>
      <c r="G253" s="121"/>
      <c r="H253" s="5"/>
      <c r="I253" s="5"/>
      <c r="J253" s="5"/>
      <c r="K253" s="5"/>
      <c r="L253" s="316"/>
    </row>
    <row r="254" spans="1:12" ht="15.75">
      <c r="A254" s="58"/>
      <c r="B254" s="235" t="s">
        <v>323</v>
      </c>
      <c r="C254" s="124">
        <v>105</v>
      </c>
      <c r="D254" s="3">
        <v>2.0124999999999997</v>
      </c>
      <c r="E254" s="3">
        <v>1.1375000000000002</v>
      </c>
      <c r="F254" s="3">
        <v>10.85</v>
      </c>
      <c r="G254" s="124">
        <v>69</v>
      </c>
      <c r="H254" s="3">
        <v>47.075</v>
      </c>
      <c r="I254" s="3">
        <v>19.425000000000004</v>
      </c>
      <c r="J254" s="3">
        <v>0.9625000000000001</v>
      </c>
      <c r="K254" s="3">
        <v>17.5875</v>
      </c>
      <c r="L254" s="281" t="s">
        <v>324</v>
      </c>
    </row>
    <row r="255" spans="1:12" ht="15.75">
      <c r="A255" s="58"/>
      <c r="B255" s="46"/>
      <c r="C255" s="9">
        <v>105</v>
      </c>
      <c r="D255" s="8">
        <f aca="true" t="shared" si="43" ref="D255:K255">SUM(D253:D254)</f>
        <v>2.0124999999999997</v>
      </c>
      <c r="E255" s="8">
        <f t="shared" si="43"/>
        <v>1.1375000000000002</v>
      </c>
      <c r="F255" s="8">
        <f t="shared" si="43"/>
        <v>10.85</v>
      </c>
      <c r="G255" s="9">
        <f t="shared" si="43"/>
        <v>69</v>
      </c>
      <c r="H255" s="8">
        <f t="shared" si="43"/>
        <v>47.075</v>
      </c>
      <c r="I255" s="8">
        <f t="shared" si="43"/>
        <v>19.425000000000004</v>
      </c>
      <c r="J255" s="8">
        <f t="shared" si="43"/>
        <v>0.9625000000000001</v>
      </c>
      <c r="K255" s="8">
        <f t="shared" si="43"/>
        <v>17.5875</v>
      </c>
      <c r="L255" s="281"/>
    </row>
    <row r="256" spans="1:12" ht="15.75">
      <c r="A256" s="40" t="s">
        <v>54</v>
      </c>
      <c r="B256" s="41"/>
      <c r="C256" s="121"/>
      <c r="D256" s="5"/>
      <c r="E256" s="5"/>
      <c r="F256" s="5"/>
      <c r="G256" s="339"/>
      <c r="H256" s="5"/>
      <c r="I256" s="5"/>
      <c r="J256" s="5"/>
      <c r="K256" s="5"/>
      <c r="L256" s="282"/>
    </row>
    <row r="257" spans="1:12" ht="15.75">
      <c r="A257" s="4"/>
      <c r="B257" s="214" t="s">
        <v>486</v>
      </c>
      <c r="C257" s="429">
        <v>30</v>
      </c>
      <c r="D257" s="39">
        <v>0.56</v>
      </c>
      <c r="E257" s="39">
        <v>2</v>
      </c>
      <c r="F257" s="39">
        <v>2.4</v>
      </c>
      <c r="G257" s="74">
        <v>35</v>
      </c>
      <c r="H257" s="24">
        <v>14.96</v>
      </c>
      <c r="I257" s="24">
        <v>6.079999999999999</v>
      </c>
      <c r="J257" s="24">
        <v>0.24000000000000005</v>
      </c>
      <c r="K257" s="39">
        <v>12.960000000000003</v>
      </c>
      <c r="L257" s="287" t="s">
        <v>487</v>
      </c>
    </row>
    <row r="258" spans="1:12" ht="15.75">
      <c r="A258" s="4"/>
      <c r="B258" s="226" t="s">
        <v>495</v>
      </c>
      <c r="C258" s="429" t="s">
        <v>496</v>
      </c>
      <c r="D258" s="22">
        <v>3.3419999999999996</v>
      </c>
      <c r="E258" s="22">
        <v>4.362</v>
      </c>
      <c r="F258" s="22">
        <v>6.096</v>
      </c>
      <c r="G258" s="401">
        <v>78.5</v>
      </c>
      <c r="H258" s="39">
        <v>2.904</v>
      </c>
      <c r="I258" s="39">
        <v>4.404</v>
      </c>
      <c r="J258" s="39">
        <v>1.224</v>
      </c>
      <c r="K258" s="22">
        <v>14.295</v>
      </c>
      <c r="L258" s="283" t="s">
        <v>451</v>
      </c>
    </row>
    <row r="259" spans="1:14" ht="15.75">
      <c r="A259" s="4"/>
      <c r="B259" s="247" t="s">
        <v>99</v>
      </c>
      <c r="C259" s="457">
        <v>60</v>
      </c>
      <c r="D259" s="129">
        <v>11.22</v>
      </c>
      <c r="E259" s="129">
        <v>2.36</v>
      </c>
      <c r="F259" s="129">
        <v>9.33</v>
      </c>
      <c r="G259" s="512">
        <v>103</v>
      </c>
      <c r="H259" s="129">
        <v>8.4</v>
      </c>
      <c r="I259" s="129">
        <v>16.9</v>
      </c>
      <c r="J259" s="129">
        <v>1</v>
      </c>
      <c r="K259" s="129">
        <v>0</v>
      </c>
      <c r="L259" s="317" t="s">
        <v>98</v>
      </c>
      <c r="M259" s="328"/>
      <c r="N259" s="328"/>
    </row>
    <row r="260" spans="1:12" ht="15.75">
      <c r="A260" s="4"/>
      <c r="B260" s="217" t="s">
        <v>346</v>
      </c>
      <c r="C260" s="459">
        <v>120</v>
      </c>
      <c r="D260" s="216">
        <v>2.3</v>
      </c>
      <c r="E260" s="216">
        <v>3.5</v>
      </c>
      <c r="F260" s="216">
        <v>16.4</v>
      </c>
      <c r="G260" s="513">
        <v>114.4</v>
      </c>
      <c r="H260" s="216">
        <v>11.7</v>
      </c>
      <c r="I260" s="216">
        <v>23.5</v>
      </c>
      <c r="J260" s="216">
        <v>0.9</v>
      </c>
      <c r="K260" s="216">
        <v>16.8</v>
      </c>
      <c r="L260" s="286" t="s">
        <v>106</v>
      </c>
    </row>
    <row r="261" spans="1:12" ht="15.75">
      <c r="A261" s="4"/>
      <c r="B261" s="247" t="s">
        <v>129</v>
      </c>
      <c r="C261" s="457">
        <v>30</v>
      </c>
      <c r="D261" s="129">
        <v>0.36</v>
      </c>
      <c r="E261" s="129">
        <v>1.28</v>
      </c>
      <c r="F261" s="129">
        <v>2.4</v>
      </c>
      <c r="G261" s="512">
        <v>23.4</v>
      </c>
      <c r="H261" s="129">
        <v>4.8</v>
      </c>
      <c r="I261" s="129">
        <v>3.4</v>
      </c>
      <c r="J261" s="129">
        <v>0.2</v>
      </c>
      <c r="K261" s="129">
        <v>0.7</v>
      </c>
      <c r="L261" s="317" t="s">
        <v>130</v>
      </c>
    </row>
    <row r="262" spans="1:12" ht="15.75">
      <c r="A262" s="4"/>
      <c r="B262" s="220" t="s">
        <v>517</v>
      </c>
      <c r="C262" s="439">
        <v>180</v>
      </c>
      <c r="D262" s="22">
        <v>0.4</v>
      </c>
      <c r="E262" s="22">
        <v>0.018000000000000002</v>
      </c>
      <c r="F262" s="22">
        <v>11.5</v>
      </c>
      <c r="G262" s="401">
        <v>87.1</v>
      </c>
      <c r="H262" s="22">
        <v>28.63</v>
      </c>
      <c r="I262" s="22">
        <v>5.4</v>
      </c>
      <c r="J262" s="22">
        <v>1.11</v>
      </c>
      <c r="K262" s="22">
        <v>0.4</v>
      </c>
      <c r="L262" s="279" t="s">
        <v>9</v>
      </c>
    </row>
    <row r="263" spans="1:12" ht="15.75">
      <c r="A263" s="4"/>
      <c r="B263" s="325" t="s">
        <v>37</v>
      </c>
      <c r="C263" s="443">
        <v>10</v>
      </c>
      <c r="D263" s="93">
        <v>0.64</v>
      </c>
      <c r="E263" s="93">
        <v>0.16</v>
      </c>
      <c r="F263" s="93">
        <v>3.9200000000000004</v>
      </c>
      <c r="G263" s="490">
        <v>19</v>
      </c>
      <c r="H263" s="93">
        <v>1.8399999999999999</v>
      </c>
      <c r="I263" s="93">
        <v>2.6399999999999997</v>
      </c>
      <c r="J263" s="93">
        <v>0.24</v>
      </c>
      <c r="K263" s="93">
        <v>0</v>
      </c>
      <c r="L263" s="280" t="s">
        <v>21</v>
      </c>
    </row>
    <row r="264" spans="1:12" ht="15.75">
      <c r="A264" s="4"/>
      <c r="B264" s="192" t="s">
        <v>38</v>
      </c>
      <c r="C264" s="429">
        <v>15</v>
      </c>
      <c r="D264" s="22">
        <v>1.1</v>
      </c>
      <c r="E264" s="22">
        <v>0.2</v>
      </c>
      <c r="F264" s="22">
        <v>6.2</v>
      </c>
      <c r="G264" s="401">
        <v>31</v>
      </c>
      <c r="H264" s="22">
        <v>5.3</v>
      </c>
      <c r="I264" s="22">
        <v>7.1</v>
      </c>
      <c r="J264" s="22">
        <v>0.6</v>
      </c>
      <c r="K264" s="22">
        <v>0</v>
      </c>
      <c r="L264" s="280" t="s">
        <v>22</v>
      </c>
    </row>
    <row r="265" spans="1:12" ht="15.75">
      <c r="A265" s="47" t="s">
        <v>27</v>
      </c>
      <c r="B265" s="56"/>
      <c r="C265" s="468">
        <v>608</v>
      </c>
      <c r="D265" s="8">
        <f aca="true" t="shared" si="44" ref="D265:K265">SUM(D257:D264)</f>
        <v>19.922</v>
      </c>
      <c r="E265" s="8">
        <f t="shared" si="44"/>
        <v>13.879999999999999</v>
      </c>
      <c r="F265" s="8">
        <f t="shared" si="44"/>
        <v>58.246</v>
      </c>
      <c r="G265" s="9">
        <f t="shared" si="44"/>
        <v>491.4</v>
      </c>
      <c r="H265" s="8">
        <f t="shared" si="44"/>
        <v>78.53399999999999</v>
      </c>
      <c r="I265" s="8">
        <f t="shared" si="44"/>
        <v>69.42399999999999</v>
      </c>
      <c r="J265" s="8">
        <f t="shared" si="44"/>
        <v>5.514</v>
      </c>
      <c r="K265" s="8">
        <f t="shared" si="44"/>
        <v>45.15500000000001</v>
      </c>
      <c r="L265" s="282"/>
    </row>
    <row r="266" spans="1:12" ht="15.75">
      <c r="A266" s="45" t="s">
        <v>55</v>
      </c>
      <c r="B266" s="1"/>
      <c r="C266" s="453"/>
      <c r="D266" s="5"/>
      <c r="E266" s="5"/>
      <c r="F266" s="5"/>
      <c r="G266" s="339"/>
      <c r="H266" s="5"/>
      <c r="I266" s="5"/>
      <c r="J266" s="5"/>
      <c r="K266" s="5"/>
      <c r="L266" s="282"/>
    </row>
    <row r="267" spans="1:12" ht="15.75">
      <c r="A267" s="4"/>
      <c r="B267" s="221" t="s">
        <v>376</v>
      </c>
      <c r="C267" s="442" t="s">
        <v>568</v>
      </c>
      <c r="D267" s="26">
        <v>0.32</v>
      </c>
      <c r="E267" s="26">
        <v>3.2</v>
      </c>
      <c r="F267" s="26">
        <v>0.72</v>
      </c>
      <c r="G267" s="74">
        <v>35.5</v>
      </c>
      <c r="H267" s="24">
        <v>4.24</v>
      </c>
      <c r="I267" s="24">
        <v>2.64</v>
      </c>
      <c r="J267" s="24">
        <v>0.24</v>
      </c>
      <c r="K267" s="26">
        <v>6.48</v>
      </c>
      <c r="L267" s="283" t="s">
        <v>375</v>
      </c>
    </row>
    <row r="268" spans="1:12" ht="15.75">
      <c r="A268" s="4"/>
      <c r="B268" s="239" t="s">
        <v>365</v>
      </c>
      <c r="C268" s="451">
        <v>60</v>
      </c>
      <c r="D268" s="86">
        <v>7.07</v>
      </c>
      <c r="E268" s="86">
        <v>2.04</v>
      </c>
      <c r="F268" s="86">
        <v>7.55</v>
      </c>
      <c r="G268" s="492">
        <v>76.5</v>
      </c>
      <c r="H268" s="86">
        <v>19.6</v>
      </c>
      <c r="I268" s="86">
        <v>24.6</v>
      </c>
      <c r="J268" s="86">
        <v>0.5</v>
      </c>
      <c r="K268" s="86">
        <v>0.19</v>
      </c>
      <c r="L268" s="288" t="s">
        <v>366</v>
      </c>
    </row>
    <row r="269" spans="1:12" ht="15.75">
      <c r="A269" s="4"/>
      <c r="B269" s="60" t="s">
        <v>133</v>
      </c>
      <c r="C269" s="430">
        <v>110</v>
      </c>
      <c r="D269" s="36">
        <v>2.06</v>
      </c>
      <c r="E269" s="36">
        <v>4.7</v>
      </c>
      <c r="F269" s="36">
        <v>10.99</v>
      </c>
      <c r="G269" s="493">
        <v>94</v>
      </c>
      <c r="H269" s="36">
        <v>36.36</v>
      </c>
      <c r="I269" s="36">
        <v>21.34</v>
      </c>
      <c r="J269" s="36">
        <v>0.847</v>
      </c>
      <c r="K269" s="36">
        <v>9.2</v>
      </c>
      <c r="L269" s="289" t="s">
        <v>134</v>
      </c>
    </row>
    <row r="270" spans="1:12" ht="18" customHeight="1">
      <c r="A270" s="4"/>
      <c r="B270" s="224" t="s">
        <v>117</v>
      </c>
      <c r="C270" s="474">
        <v>45</v>
      </c>
      <c r="D270" s="70">
        <v>3.2400000000000007</v>
      </c>
      <c r="E270" s="70">
        <v>2.7</v>
      </c>
      <c r="F270" s="70">
        <v>18.629999999999995</v>
      </c>
      <c r="G270" s="504">
        <v>112.5</v>
      </c>
      <c r="H270" s="70">
        <v>28.890000000000008</v>
      </c>
      <c r="I270" s="70">
        <v>9.36</v>
      </c>
      <c r="J270" s="70">
        <v>0.45</v>
      </c>
      <c r="K270" s="71">
        <v>11.88</v>
      </c>
      <c r="L270" s="290" t="s">
        <v>118</v>
      </c>
    </row>
    <row r="271" spans="1:12" ht="15.75">
      <c r="A271" s="4"/>
      <c r="B271" s="220" t="s">
        <v>80</v>
      </c>
      <c r="C271" s="448">
        <v>180</v>
      </c>
      <c r="D271" s="22">
        <v>2.67</v>
      </c>
      <c r="E271" s="22">
        <v>2.34</v>
      </c>
      <c r="F271" s="22">
        <v>8.19</v>
      </c>
      <c r="G271" s="401">
        <v>68</v>
      </c>
      <c r="H271" s="22">
        <v>113.9</v>
      </c>
      <c r="I271" s="22">
        <v>13.9</v>
      </c>
      <c r="J271" s="22">
        <v>0.37</v>
      </c>
      <c r="K271" s="22">
        <v>1.32</v>
      </c>
      <c r="L271" s="279" t="s">
        <v>498</v>
      </c>
    </row>
    <row r="272" spans="1:12" ht="15.75">
      <c r="A272" s="4"/>
      <c r="B272" s="192" t="s">
        <v>38</v>
      </c>
      <c r="C272" s="443">
        <v>15</v>
      </c>
      <c r="D272" s="93">
        <v>1.1</v>
      </c>
      <c r="E272" s="93">
        <v>0.2</v>
      </c>
      <c r="F272" s="93">
        <v>6.2</v>
      </c>
      <c r="G272" s="490">
        <v>31</v>
      </c>
      <c r="H272" s="93">
        <v>5.3</v>
      </c>
      <c r="I272" s="93">
        <v>7.1</v>
      </c>
      <c r="J272" s="93">
        <v>0.6</v>
      </c>
      <c r="K272" s="93">
        <v>0</v>
      </c>
      <c r="L272" s="280" t="s">
        <v>22</v>
      </c>
    </row>
    <row r="273" spans="1:12" ht="15.75">
      <c r="A273" s="45" t="s">
        <v>56</v>
      </c>
      <c r="B273" s="47"/>
      <c r="C273" s="9">
        <v>451</v>
      </c>
      <c r="D273" s="8">
        <f>SUM(D267:D272)</f>
        <v>16.46</v>
      </c>
      <c r="E273" s="8">
        <f aca="true" t="shared" si="45" ref="E273:K273">SUM(E267:E272)</f>
        <v>15.18</v>
      </c>
      <c r="F273" s="8">
        <f t="shared" si="45"/>
        <v>52.279999999999994</v>
      </c>
      <c r="G273" s="9">
        <f t="shared" si="45"/>
        <v>417.5</v>
      </c>
      <c r="H273" s="8">
        <f t="shared" si="45"/>
        <v>208.29000000000002</v>
      </c>
      <c r="I273" s="8">
        <f t="shared" si="45"/>
        <v>78.94</v>
      </c>
      <c r="J273" s="8">
        <f t="shared" si="45"/>
        <v>3.007</v>
      </c>
      <c r="K273" s="8">
        <f t="shared" si="45"/>
        <v>29.07</v>
      </c>
      <c r="L273" s="282"/>
    </row>
    <row r="274" spans="1:12" ht="15.75">
      <c r="A274" s="55" t="s">
        <v>67</v>
      </c>
      <c r="B274" s="56"/>
      <c r="C274" s="9"/>
      <c r="D274" s="8">
        <f aca="true" t="shared" si="46" ref="D274:K274">SUM(D251,D255,D265,D273)</f>
        <v>46.4215</v>
      </c>
      <c r="E274" s="8">
        <f t="shared" si="46"/>
        <v>37.525</v>
      </c>
      <c r="F274" s="8">
        <f t="shared" si="46"/>
        <v>163.09766666666667</v>
      </c>
      <c r="G274" s="9">
        <f t="shared" si="46"/>
        <v>1260.4</v>
      </c>
      <c r="H274" s="8">
        <f t="shared" si="46"/>
        <v>574.0801111111111</v>
      </c>
      <c r="I274" s="8">
        <f t="shared" si="46"/>
        <v>207.84455555555556</v>
      </c>
      <c r="J274" s="8">
        <f t="shared" si="46"/>
        <v>10.739611111111111</v>
      </c>
      <c r="K274" s="8">
        <f t="shared" si="46"/>
        <v>92.83361111111111</v>
      </c>
      <c r="L274" s="282"/>
    </row>
    <row r="275" spans="1:12" ht="15.75">
      <c r="A275" s="4"/>
      <c r="B275" s="583"/>
      <c r="C275" s="584"/>
      <c r="D275" s="584"/>
      <c r="E275" s="584"/>
      <c r="F275" s="584"/>
      <c r="G275" s="584"/>
      <c r="H275" s="584"/>
      <c r="I275" s="584"/>
      <c r="J275" s="584"/>
      <c r="K275" s="585"/>
      <c r="L275" s="282"/>
    </row>
    <row r="276" spans="1:12" ht="15.75">
      <c r="A276" s="4"/>
      <c r="B276" s="587" t="s">
        <v>69</v>
      </c>
      <c r="C276" s="587"/>
      <c r="D276" s="587"/>
      <c r="E276" s="587"/>
      <c r="F276" s="587"/>
      <c r="G276" s="587"/>
      <c r="H276" s="587"/>
      <c r="I276" s="587"/>
      <c r="J276" s="587"/>
      <c r="K276" s="587"/>
      <c r="L276" s="282"/>
    </row>
    <row r="277" spans="1:12" ht="15.75">
      <c r="A277" s="40" t="s">
        <v>52</v>
      </c>
      <c r="B277" s="41"/>
      <c r="C277" s="121"/>
      <c r="D277" s="12"/>
      <c r="E277" s="12"/>
      <c r="F277" s="12"/>
      <c r="G277" s="121"/>
      <c r="H277" s="12"/>
      <c r="I277" s="12"/>
      <c r="J277" s="12"/>
      <c r="K277" s="12"/>
      <c r="L277" s="282"/>
    </row>
    <row r="278" spans="1:12" ht="15.75">
      <c r="A278" s="4"/>
      <c r="B278" s="226" t="s">
        <v>427</v>
      </c>
      <c r="C278" s="85">
        <v>180</v>
      </c>
      <c r="D278" s="22">
        <v>3.388235294117647</v>
      </c>
      <c r="E278" s="22">
        <v>3.388235294117647</v>
      </c>
      <c r="F278" s="22">
        <v>12.494117647058824</v>
      </c>
      <c r="G278" s="401">
        <v>90.5</v>
      </c>
      <c r="H278" s="22">
        <v>135.1164705882353</v>
      </c>
      <c r="I278" s="22">
        <v>20.74235294117647</v>
      </c>
      <c r="J278" s="22">
        <v>0.23294117647058823</v>
      </c>
      <c r="K278" s="22">
        <v>0.6352941176470588</v>
      </c>
      <c r="L278" s="283" t="s">
        <v>428</v>
      </c>
    </row>
    <row r="279" spans="1:12" ht="15.75">
      <c r="A279" s="4"/>
      <c r="B279" s="255" t="s">
        <v>115</v>
      </c>
      <c r="C279" s="85">
        <v>170</v>
      </c>
      <c r="D279" s="68">
        <v>5.1765</v>
      </c>
      <c r="E279" s="68">
        <v>4.606999999999999</v>
      </c>
      <c r="F279" s="68">
        <v>8.568000000000001</v>
      </c>
      <c r="G279" s="465">
        <v>96</v>
      </c>
      <c r="H279" s="68">
        <v>214.88</v>
      </c>
      <c r="I279" s="68">
        <v>25.04666666666667</v>
      </c>
      <c r="J279" s="68">
        <v>0.18133333333333335</v>
      </c>
      <c r="K279" s="68">
        <v>2.323333333333333</v>
      </c>
      <c r="L279" s="329" t="s">
        <v>352</v>
      </c>
    </row>
    <row r="280" spans="1:12" ht="15.75">
      <c r="A280" s="4"/>
      <c r="B280" s="246" t="s">
        <v>36</v>
      </c>
      <c r="C280" s="405">
        <v>25</v>
      </c>
      <c r="D280" s="116">
        <v>1.9</v>
      </c>
      <c r="E280" s="116">
        <v>0.8</v>
      </c>
      <c r="F280" s="116">
        <v>12.8</v>
      </c>
      <c r="G280" s="467">
        <v>65.6</v>
      </c>
      <c r="H280" s="116">
        <v>8.8</v>
      </c>
      <c r="I280" s="116">
        <v>11.8</v>
      </c>
      <c r="J280" s="116">
        <v>1</v>
      </c>
      <c r="K280" s="116">
        <v>0</v>
      </c>
      <c r="L280" s="330" t="s">
        <v>7</v>
      </c>
    </row>
    <row r="281" spans="1:12" ht="15.75">
      <c r="A281" s="4"/>
      <c r="B281" s="221" t="s">
        <v>433</v>
      </c>
      <c r="C281" s="404">
        <v>8</v>
      </c>
      <c r="D281" s="26">
        <v>0.11200000000000002</v>
      </c>
      <c r="E281" s="26">
        <v>0.784</v>
      </c>
      <c r="F281" s="26">
        <v>5.952</v>
      </c>
      <c r="G281" s="74">
        <v>28</v>
      </c>
      <c r="H281" s="26">
        <v>2</v>
      </c>
      <c r="I281" s="26">
        <v>3.9200000000000004</v>
      </c>
      <c r="J281" s="26">
        <v>0.22400000000000003</v>
      </c>
      <c r="K281" s="26">
        <v>0</v>
      </c>
      <c r="L281" s="287" t="s">
        <v>3</v>
      </c>
    </row>
    <row r="282" spans="1:12" ht="15.75">
      <c r="A282" s="47" t="s">
        <v>23</v>
      </c>
      <c r="B282" s="385"/>
      <c r="C282" s="9">
        <f>SUM(C278:C281)</f>
        <v>383</v>
      </c>
      <c r="D282" s="9">
        <f aca="true" t="shared" si="47" ref="D282:K282">SUM(D278:D281)</f>
        <v>10.576735294117647</v>
      </c>
      <c r="E282" s="9">
        <f t="shared" si="47"/>
        <v>9.579235294117648</v>
      </c>
      <c r="F282" s="9">
        <f t="shared" si="47"/>
        <v>39.81411764705882</v>
      </c>
      <c r="G282" s="9">
        <f t="shared" si="47"/>
        <v>280.1</v>
      </c>
      <c r="H282" s="9">
        <f t="shared" si="47"/>
        <v>360.7964705882353</v>
      </c>
      <c r="I282" s="9">
        <f t="shared" si="47"/>
        <v>61.50901960784314</v>
      </c>
      <c r="J282" s="9">
        <f t="shared" si="47"/>
        <v>1.6382745098039215</v>
      </c>
      <c r="K282" s="9">
        <f t="shared" si="47"/>
        <v>2.9586274509803916</v>
      </c>
      <c r="L282" s="282"/>
    </row>
    <row r="283" spans="1:12" ht="15.75">
      <c r="A283" s="77" t="s">
        <v>53</v>
      </c>
      <c r="B283" s="41"/>
      <c r="C283" s="121"/>
      <c r="D283" s="5"/>
      <c r="E283" s="5"/>
      <c r="F283" s="5"/>
      <c r="G283" s="339"/>
      <c r="H283" s="5"/>
      <c r="I283" s="5"/>
      <c r="J283" s="5"/>
      <c r="K283" s="5"/>
      <c r="L283" s="282"/>
    </row>
    <row r="284" spans="1:12" ht="15.75">
      <c r="A284" s="64"/>
      <c r="B284" s="231" t="s">
        <v>445</v>
      </c>
      <c r="C284" s="272" t="s">
        <v>444</v>
      </c>
      <c r="D284" s="73">
        <v>0.9875</v>
      </c>
      <c r="E284" s="73">
        <v>0.425</v>
      </c>
      <c r="F284" s="73">
        <v>15.625</v>
      </c>
      <c r="G284" s="124">
        <v>71</v>
      </c>
      <c r="H284" s="73">
        <v>13.5</v>
      </c>
      <c r="I284" s="73">
        <v>27</v>
      </c>
      <c r="J284" s="73">
        <v>1.425</v>
      </c>
      <c r="K284" s="73">
        <v>7.5</v>
      </c>
      <c r="L284" s="319" t="s">
        <v>88</v>
      </c>
    </row>
    <row r="285" spans="1:12" ht="15.75">
      <c r="A285" s="64"/>
      <c r="B285" s="46"/>
      <c r="C285" s="250">
        <v>100</v>
      </c>
      <c r="D285" s="206">
        <f>SUM(D284)</f>
        <v>0.9875</v>
      </c>
      <c r="E285" s="206">
        <f aca="true" t="shared" si="48" ref="E285:K285">SUM(E284)</f>
        <v>0.425</v>
      </c>
      <c r="F285" s="206">
        <f t="shared" si="48"/>
        <v>15.625</v>
      </c>
      <c r="G285" s="9">
        <f t="shared" si="48"/>
        <v>71</v>
      </c>
      <c r="H285" s="206">
        <f t="shared" si="48"/>
        <v>13.5</v>
      </c>
      <c r="I285" s="206">
        <f t="shared" si="48"/>
        <v>27</v>
      </c>
      <c r="J285" s="206">
        <f t="shared" si="48"/>
        <v>1.425</v>
      </c>
      <c r="K285" s="206">
        <f t="shared" si="48"/>
        <v>7.5</v>
      </c>
      <c r="L285" s="281"/>
    </row>
    <row r="286" spans="1:12" ht="15.75">
      <c r="A286" s="40" t="s">
        <v>54</v>
      </c>
      <c r="B286" s="41"/>
      <c r="C286" s="121"/>
      <c r="D286" s="5"/>
      <c r="E286" s="5"/>
      <c r="F286" s="5"/>
      <c r="G286" s="339"/>
      <c r="H286" s="5"/>
      <c r="I286" s="5"/>
      <c r="J286" s="5"/>
      <c r="K286" s="5"/>
      <c r="L286" s="282"/>
    </row>
    <row r="287" spans="1:12" ht="15.75">
      <c r="A287" s="4"/>
      <c r="B287" s="221" t="s">
        <v>534</v>
      </c>
      <c r="C287" s="429" t="s">
        <v>535</v>
      </c>
      <c r="D287" s="39">
        <v>0.24</v>
      </c>
      <c r="E287" s="39">
        <v>2.4</v>
      </c>
      <c r="F287" s="39">
        <v>0.66</v>
      </c>
      <c r="G287" s="74">
        <v>27.4</v>
      </c>
      <c r="H287" s="24">
        <v>6.84</v>
      </c>
      <c r="I287" s="24">
        <v>3.84</v>
      </c>
      <c r="J287" s="24">
        <v>0.18</v>
      </c>
      <c r="K287" s="39">
        <v>2.76</v>
      </c>
      <c r="L287" s="287" t="s">
        <v>307</v>
      </c>
    </row>
    <row r="288" spans="1:12" ht="15" customHeight="1">
      <c r="A288" s="4"/>
      <c r="B288" s="262" t="s">
        <v>520</v>
      </c>
      <c r="C288" s="442" t="s">
        <v>569</v>
      </c>
      <c r="D288" s="22">
        <v>1.608</v>
      </c>
      <c r="E288" s="22">
        <v>1.704</v>
      </c>
      <c r="F288" s="22">
        <v>10.283999999999999</v>
      </c>
      <c r="G288" s="401">
        <v>64.4</v>
      </c>
      <c r="H288" s="22">
        <v>14.8</v>
      </c>
      <c r="I288" s="22">
        <v>16.2</v>
      </c>
      <c r="J288" s="22">
        <v>0.7</v>
      </c>
      <c r="K288" s="22">
        <v>5</v>
      </c>
      <c r="L288" s="287" t="s">
        <v>378</v>
      </c>
    </row>
    <row r="289" spans="1:12" ht="15.75">
      <c r="A289" s="4"/>
      <c r="B289" s="228" t="s">
        <v>490</v>
      </c>
      <c r="C289" s="448">
        <v>60</v>
      </c>
      <c r="D289" s="265">
        <v>9.282</v>
      </c>
      <c r="E289" s="265">
        <v>6.234</v>
      </c>
      <c r="F289" s="265">
        <v>9.157499999999999</v>
      </c>
      <c r="G289" s="514">
        <v>122.4</v>
      </c>
      <c r="H289" s="68">
        <v>24.45</v>
      </c>
      <c r="I289" s="68">
        <v>19.275</v>
      </c>
      <c r="J289" s="68">
        <v>0.9</v>
      </c>
      <c r="K289" s="265">
        <v>0.075</v>
      </c>
      <c r="L289" s="288" t="s">
        <v>489</v>
      </c>
    </row>
    <row r="290" spans="1:12" ht="15.75">
      <c r="A290" s="4"/>
      <c r="B290" s="228" t="s">
        <v>40</v>
      </c>
      <c r="C290" s="460">
        <v>120</v>
      </c>
      <c r="D290" s="268">
        <v>3.66</v>
      </c>
      <c r="E290" s="268">
        <v>4.01</v>
      </c>
      <c r="F290" s="268">
        <v>16.42</v>
      </c>
      <c r="G290" s="512">
        <v>116.4</v>
      </c>
      <c r="H290" s="116">
        <v>6.76</v>
      </c>
      <c r="I290" s="116">
        <v>57.6</v>
      </c>
      <c r="J290" s="116">
        <v>1.9</v>
      </c>
      <c r="K290" s="268">
        <v>0</v>
      </c>
      <c r="L290" s="323" t="s">
        <v>41</v>
      </c>
    </row>
    <row r="291" spans="1:12" ht="15.75">
      <c r="A291" s="4"/>
      <c r="B291" s="248" t="s">
        <v>533</v>
      </c>
      <c r="C291" s="442">
        <v>150</v>
      </c>
      <c r="D291" s="266">
        <v>0.1</v>
      </c>
      <c r="E291" s="267">
        <v>0.1</v>
      </c>
      <c r="F291" s="266">
        <v>12.1</v>
      </c>
      <c r="G291" s="395">
        <v>47.4</v>
      </c>
      <c r="H291" s="37">
        <v>0.6</v>
      </c>
      <c r="I291" s="37">
        <v>11.9</v>
      </c>
      <c r="J291" s="37">
        <v>3.6</v>
      </c>
      <c r="K291" s="90">
        <v>0.7</v>
      </c>
      <c r="L291" s="279" t="s">
        <v>14</v>
      </c>
    </row>
    <row r="292" spans="1:12" ht="15.75">
      <c r="A292" s="4"/>
      <c r="B292" s="461" t="s">
        <v>37</v>
      </c>
      <c r="C292" s="462">
        <v>15</v>
      </c>
      <c r="D292" s="93">
        <v>1.1785714285714286</v>
      </c>
      <c r="E292" s="93">
        <v>0.21428571428571427</v>
      </c>
      <c r="F292" s="93">
        <v>7.392857142857143</v>
      </c>
      <c r="G292" s="490">
        <v>36.4</v>
      </c>
      <c r="H292" s="93">
        <v>3.5357142857142856</v>
      </c>
      <c r="I292" s="93">
        <v>5.035714285714286</v>
      </c>
      <c r="J292" s="93">
        <v>0.32142857142857145</v>
      </c>
      <c r="K292" s="93">
        <v>0</v>
      </c>
      <c r="L292" s="280" t="s">
        <v>22</v>
      </c>
    </row>
    <row r="293" spans="1:12" ht="15.75">
      <c r="A293" s="4"/>
      <c r="B293" s="192" t="s">
        <v>38</v>
      </c>
      <c r="C293" s="462">
        <v>34</v>
      </c>
      <c r="D293" s="93">
        <v>2.3</v>
      </c>
      <c r="E293" s="93">
        <v>0.4</v>
      </c>
      <c r="F293" s="93">
        <v>13.5</v>
      </c>
      <c r="G293" s="490">
        <v>67.4</v>
      </c>
      <c r="H293" s="93">
        <v>16</v>
      </c>
      <c r="I293" s="93">
        <v>16.7</v>
      </c>
      <c r="J293" s="93">
        <v>1.3</v>
      </c>
      <c r="K293" s="93">
        <v>0</v>
      </c>
      <c r="L293" s="280" t="s">
        <v>22</v>
      </c>
    </row>
    <row r="294" spans="1:12" ht="15.75">
      <c r="A294" s="270" t="s">
        <v>27</v>
      </c>
      <c r="B294" s="331"/>
      <c r="C294" s="468">
        <v>570</v>
      </c>
      <c r="D294" s="8">
        <f aca="true" t="shared" si="49" ref="D294:K294">SUM(D287:D293)</f>
        <v>18.36857142857143</v>
      </c>
      <c r="E294" s="8">
        <f t="shared" si="49"/>
        <v>15.062285714285714</v>
      </c>
      <c r="F294" s="8">
        <f t="shared" si="49"/>
        <v>69.51435714285715</v>
      </c>
      <c r="G294" s="9">
        <f t="shared" si="49"/>
        <v>481.79999999999995</v>
      </c>
      <c r="H294" s="8">
        <f t="shared" si="49"/>
        <v>72.9857142857143</v>
      </c>
      <c r="I294" s="8">
        <f t="shared" si="49"/>
        <v>130.5507142857143</v>
      </c>
      <c r="J294" s="8">
        <f t="shared" si="49"/>
        <v>8.901428571428571</v>
      </c>
      <c r="K294" s="8">
        <f t="shared" si="49"/>
        <v>8.535</v>
      </c>
      <c r="L294" s="305"/>
    </row>
    <row r="295" spans="1:12" ht="15.75">
      <c r="A295" s="45" t="s">
        <v>55</v>
      </c>
      <c r="B295" s="463"/>
      <c r="C295" s="450"/>
      <c r="D295" s="5"/>
      <c r="E295" s="5"/>
      <c r="F295" s="5"/>
      <c r="G295" s="339"/>
      <c r="H295" s="5"/>
      <c r="I295" s="5"/>
      <c r="J295" s="5"/>
      <c r="K295" s="5"/>
      <c r="L295" s="305"/>
    </row>
    <row r="296" spans="1:12" ht="15.75">
      <c r="A296" s="4"/>
      <c r="B296" s="228" t="s">
        <v>557</v>
      </c>
      <c r="C296" s="442" t="s">
        <v>568</v>
      </c>
      <c r="D296" s="26">
        <v>0.6666666666666667</v>
      </c>
      <c r="E296" s="26">
        <v>2.4000000000000004</v>
      </c>
      <c r="F296" s="26">
        <v>2</v>
      </c>
      <c r="G296" s="74">
        <v>34.1</v>
      </c>
      <c r="H296" s="26">
        <v>14.400000000000002</v>
      </c>
      <c r="I296" s="26">
        <v>7.333333333333332</v>
      </c>
      <c r="J296" s="26">
        <v>0.2666666666666667</v>
      </c>
      <c r="K296" s="26">
        <v>20.66666666666667</v>
      </c>
      <c r="L296" s="283" t="s">
        <v>390</v>
      </c>
    </row>
    <row r="297" spans="1:12" ht="15.75">
      <c r="A297" s="4"/>
      <c r="B297" s="248" t="s">
        <v>431</v>
      </c>
      <c r="C297" s="464" t="s">
        <v>569</v>
      </c>
      <c r="D297" s="115">
        <v>2.4166666666666665</v>
      </c>
      <c r="E297" s="115">
        <v>11.333333333333334</v>
      </c>
      <c r="F297" s="115">
        <v>13.583333333333334</v>
      </c>
      <c r="G297" s="515">
        <v>166</v>
      </c>
      <c r="H297" s="115">
        <v>39.333333333333336</v>
      </c>
      <c r="I297" s="115">
        <v>26.083333333333332</v>
      </c>
      <c r="J297" s="115">
        <v>0.8333333333333334</v>
      </c>
      <c r="K297" s="115">
        <v>8.25</v>
      </c>
      <c r="L297" s="113" t="s">
        <v>432</v>
      </c>
    </row>
    <row r="298" spans="1:12" ht="15.75">
      <c r="A298" s="4"/>
      <c r="B298" s="248" t="s">
        <v>551</v>
      </c>
      <c r="C298" s="442">
        <v>180</v>
      </c>
      <c r="D298" s="115">
        <v>0.3</v>
      </c>
      <c r="E298" s="115">
        <v>0</v>
      </c>
      <c r="F298" s="115">
        <v>1.5</v>
      </c>
      <c r="G298" s="515">
        <v>8</v>
      </c>
      <c r="H298" s="115">
        <v>8.1</v>
      </c>
      <c r="I298" s="115">
        <v>5.4</v>
      </c>
      <c r="J298" s="115">
        <v>0.8</v>
      </c>
      <c r="K298" s="115">
        <v>2.4</v>
      </c>
      <c r="L298" s="113" t="s">
        <v>576</v>
      </c>
    </row>
    <row r="299" spans="1:12" ht="15.75">
      <c r="A299" s="4"/>
      <c r="B299" s="470" t="s">
        <v>429</v>
      </c>
      <c r="C299" s="556">
        <v>65</v>
      </c>
      <c r="D299" s="471">
        <v>8.0925</v>
      </c>
      <c r="E299" s="471">
        <v>6.2725</v>
      </c>
      <c r="F299" s="471">
        <v>28.166666666666668</v>
      </c>
      <c r="G299" s="516">
        <v>185</v>
      </c>
      <c r="H299" s="471">
        <v>45.175</v>
      </c>
      <c r="I299" s="471">
        <v>18.2</v>
      </c>
      <c r="J299" s="471">
        <v>0.7799999999999999</v>
      </c>
      <c r="K299" s="471">
        <v>0.010833333333333334</v>
      </c>
      <c r="L299" s="472" t="s">
        <v>430</v>
      </c>
    </row>
    <row r="300" spans="1:12" ht="15.75">
      <c r="A300" s="4"/>
      <c r="B300" s="192" t="s">
        <v>37</v>
      </c>
      <c r="C300" s="473">
        <v>14</v>
      </c>
      <c r="D300" s="116">
        <v>1.1</v>
      </c>
      <c r="E300" s="116">
        <v>0.2</v>
      </c>
      <c r="F300" s="116">
        <v>6.9</v>
      </c>
      <c r="G300" s="467">
        <v>33.5</v>
      </c>
      <c r="H300" s="116">
        <v>3.3</v>
      </c>
      <c r="I300" s="116">
        <v>4.7</v>
      </c>
      <c r="J300" s="116">
        <v>0.3</v>
      </c>
      <c r="K300" s="116">
        <v>0</v>
      </c>
      <c r="L300" s="310" t="s">
        <v>21</v>
      </c>
    </row>
    <row r="301" spans="1:12" ht="15.75">
      <c r="A301" s="45" t="s">
        <v>56</v>
      </c>
      <c r="B301" s="47"/>
      <c r="C301" s="468">
        <v>452</v>
      </c>
      <c r="D301" s="8">
        <f aca="true" t="shared" si="50" ref="D301:K301">SUM(D296:D300)</f>
        <v>12.575833333333332</v>
      </c>
      <c r="E301" s="8">
        <f t="shared" si="50"/>
        <v>20.205833333333334</v>
      </c>
      <c r="F301" s="8">
        <f t="shared" si="50"/>
        <v>52.15</v>
      </c>
      <c r="G301" s="9">
        <f t="shared" si="50"/>
        <v>426.6</v>
      </c>
      <c r="H301" s="8">
        <f t="shared" si="50"/>
        <v>110.30833333333332</v>
      </c>
      <c r="I301" s="8">
        <f t="shared" si="50"/>
        <v>61.71666666666667</v>
      </c>
      <c r="J301" s="8">
        <f t="shared" si="50"/>
        <v>2.98</v>
      </c>
      <c r="K301" s="8">
        <f t="shared" si="50"/>
        <v>31.327500000000004</v>
      </c>
      <c r="L301" s="282"/>
    </row>
    <row r="302" spans="1:12" ht="30">
      <c r="A302" s="55" t="s">
        <v>68</v>
      </c>
      <c r="B302" s="56"/>
      <c r="C302" s="9"/>
      <c r="D302" s="8">
        <f aca="true" t="shared" si="51" ref="D302:K302">SUM(D282,D285,D294,D301)</f>
        <v>42.50864005602241</v>
      </c>
      <c r="E302" s="8">
        <f t="shared" si="51"/>
        <v>45.2723543417367</v>
      </c>
      <c r="F302" s="8">
        <f t="shared" si="51"/>
        <v>177.10347478991596</v>
      </c>
      <c r="G302" s="9">
        <f t="shared" si="51"/>
        <v>1259.5</v>
      </c>
      <c r="H302" s="8">
        <f t="shared" si="51"/>
        <v>557.5905182072829</v>
      </c>
      <c r="I302" s="8">
        <f t="shared" si="51"/>
        <v>280.77640056022415</v>
      </c>
      <c r="J302" s="8">
        <f t="shared" si="51"/>
        <v>14.944703081232493</v>
      </c>
      <c r="K302" s="8">
        <f t="shared" si="51"/>
        <v>50.3211274509804</v>
      </c>
      <c r="L302" s="282"/>
    </row>
    <row r="303" spans="1:12" ht="15.75">
      <c r="A303" s="4"/>
      <c r="B303" s="583"/>
      <c r="C303" s="584"/>
      <c r="D303" s="584"/>
      <c r="E303" s="584"/>
      <c r="F303" s="584"/>
      <c r="G303" s="584"/>
      <c r="H303" s="584"/>
      <c r="I303" s="584"/>
      <c r="J303" s="584"/>
      <c r="K303" s="585"/>
      <c r="L303" s="277"/>
    </row>
    <row r="304" spans="1:12" ht="15.75">
      <c r="A304" s="589" t="s">
        <v>4</v>
      </c>
      <c r="B304" s="590"/>
      <c r="C304" s="121"/>
      <c r="D304" s="5">
        <f aca="true" t="shared" si="52" ref="D304:K304">D41+D69+D98+D128+D156+D186+D214+D243+D274+D302</f>
        <v>495.85558694775034</v>
      </c>
      <c r="E304" s="5">
        <f t="shared" si="52"/>
        <v>436.45209474053433</v>
      </c>
      <c r="F304" s="5">
        <f t="shared" si="52"/>
        <v>1696.5780576243826</v>
      </c>
      <c r="G304" s="121">
        <f t="shared" si="52"/>
        <v>12601.11298245614</v>
      </c>
      <c r="H304" s="5">
        <f t="shared" si="52"/>
        <v>5803.889729039992</v>
      </c>
      <c r="I304" s="5">
        <f t="shared" si="52"/>
        <v>2261.0708867415747</v>
      </c>
      <c r="J304" s="5">
        <f t="shared" si="52"/>
        <v>152.04936482416085</v>
      </c>
      <c r="K304" s="5">
        <f t="shared" si="52"/>
        <v>746.5792803601628</v>
      </c>
      <c r="L304" s="277"/>
    </row>
    <row r="305" spans="1:12" ht="15.75">
      <c r="A305" s="589" t="s">
        <v>5</v>
      </c>
      <c r="B305" s="590"/>
      <c r="C305" s="121"/>
      <c r="D305" s="12">
        <f aca="true" t="shared" si="53" ref="D305:K305">D304/10</f>
        <v>49.58555869477503</v>
      </c>
      <c r="E305" s="12">
        <f t="shared" si="53"/>
        <v>43.64520947405343</v>
      </c>
      <c r="F305" s="12">
        <f t="shared" si="53"/>
        <v>169.65780576243827</v>
      </c>
      <c r="G305" s="121">
        <f>G304/10</f>
        <v>1260.1112982456139</v>
      </c>
      <c r="H305" s="12">
        <f t="shared" si="53"/>
        <v>580.3889729039992</v>
      </c>
      <c r="I305" s="12">
        <f t="shared" si="53"/>
        <v>226.10708867415747</v>
      </c>
      <c r="J305" s="12">
        <f t="shared" si="53"/>
        <v>15.204936482416084</v>
      </c>
      <c r="K305" s="12">
        <f t="shared" si="53"/>
        <v>74.65792803601627</v>
      </c>
      <c r="L305" s="277"/>
    </row>
    <row r="306" spans="1:12" ht="15.75">
      <c r="A306" s="604" t="s">
        <v>30</v>
      </c>
      <c r="B306" s="605"/>
      <c r="C306" s="406"/>
      <c r="D306" s="559">
        <f>(D305*4)/G305*100-1</f>
        <v>14.740056854917617</v>
      </c>
      <c r="E306" s="559">
        <f>(E305*9)/G305*100-1</f>
        <v>30.172396106071353</v>
      </c>
      <c r="F306" s="559">
        <f>(F305*4)/G305*100+1</f>
        <v>54.85486377231721</v>
      </c>
      <c r="G306" s="276">
        <f>SUM(D306:F306)</f>
        <v>99.76731673330619</v>
      </c>
      <c r="H306" s="142"/>
      <c r="I306" s="142"/>
      <c r="J306" s="142"/>
      <c r="K306" s="142"/>
      <c r="L306" s="320"/>
    </row>
    <row r="307" spans="1:12" ht="15.75">
      <c r="A307" s="604" t="s">
        <v>31</v>
      </c>
      <c r="B307" s="605"/>
      <c r="C307" s="406"/>
      <c r="D307" s="130" t="s">
        <v>32</v>
      </c>
      <c r="E307" s="130" t="s">
        <v>33</v>
      </c>
      <c r="F307" s="130" t="s">
        <v>34</v>
      </c>
      <c r="G307" s="496"/>
      <c r="H307" s="142"/>
      <c r="I307" s="142"/>
      <c r="J307" s="142"/>
      <c r="K307" s="142"/>
      <c r="L307" s="320"/>
    </row>
    <row r="308" spans="2:6" ht="15.75">
      <c r="B308" s="249"/>
      <c r="C308" s="407"/>
      <c r="D308" s="131"/>
      <c r="E308" s="131"/>
      <c r="F308" s="132"/>
    </row>
    <row r="309" spans="2:8" ht="15.75">
      <c r="B309" s="118" t="s">
        <v>391</v>
      </c>
      <c r="C309" s="408"/>
      <c r="D309" s="133"/>
      <c r="E309" s="133"/>
      <c r="F309" s="133"/>
      <c r="G309" s="252"/>
      <c r="H309" s="133"/>
    </row>
    <row r="310" spans="2:8" ht="15.75">
      <c r="B310" s="17"/>
      <c r="C310" s="252"/>
      <c r="D310" s="133"/>
      <c r="E310" s="133"/>
      <c r="F310" s="133"/>
      <c r="G310" s="252"/>
      <c r="H310" s="133"/>
    </row>
    <row r="311" spans="2:11" ht="15.75">
      <c r="B311" s="249" t="s">
        <v>586</v>
      </c>
      <c r="C311" s="253"/>
      <c r="D311" s="19"/>
      <c r="E311" s="19"/>
      <c r="F311" s="19"/>
      <c r="G311" s="253"/>
      <c r="H311" s="19"/>
      <c r="I311" s="19"/>
      <c r="J311" s="19"/>
      <c r="K311" s="19"/>
    </row>
    <row r="312" spans="3:11" ht="15.75">
      <c r="C312" s="253"/>
      <c r="D312" s="19"/>
      <c r="E312" s="19"/>
      <c r="F312" s="19"/>
      <c r="G312" s="253"/>
      <c r="H312" s="19"/>
      <c r="I312" s="19"/>
      <c r="J312" s="19"/>
      <c r="K312" s="19"/>
    </row>
    <row r="314" ht="15.75">
      <c r="B314" s="18"/>
    </row>
  </sheetData>
  <sheetProtection/>
  <mergeCells count="36">
    <mergeCell ref="B42:K42"/>
    <mergeCell ref="B43:K43"/>
    <mergeCell ref="B244:K244"/>
    <mergeCell ref="B100:K100"/>
    <mergeCell ref="B129:K129"/>
    <mergeCell ref="B130:K130"/>
    <mergeCell ref="B216:K216"/>
    <mergeCell ref="B157:K157"/>
    <mergeCell ref="B215:K215"/>
    <mergeCell ref="B158:K158"/>
    <mergeCell ref="B187:K187"/>
    <mergeCell ref="B70:K70"/>
    <mergeCell ref="L10:L11"/>
    <mergeCell ref="B188:K188"/>
    <mergeCell ref="K10:K11"/>
    <mergeCell ref="B71:K71"/>
    <mergeCell ref="B99:K99"/>
    <mergeCell ref="B12:L12"/>
    <mergeCell ref="A307:B307"/>
    <mergeCell ref="B245:K245"/>
    <mergeCell ref="B275:K275"/>
    <mergeCell ref="A304:B304"/>
    <mergeCell ref="A305:B305"/>
    <mergeCell ref="B276:K276"/>
    <mergeCell ref="B303:K303"/>
    <mergeCell ref="A306:B306"/>
    <mergeCell ref="K4:L4"/>
    <mergeCell ref="A10:A11"/>
    <mergeCell ref="B10:B11"/>
    <mergeCell ref="C10:C11"/>
    <mergeCell ref="D10:F10"/>
    <mergeCell ref="A7:L7"/>
    <mergeCell ref="G10:G11"/>
    <mergeCell ref="H10:J10"/>
    <mergeCell ref="A9:L9"/>
    <mergeCell ref="A8:L8"/>
  </mergeCells>
  <printOptions/>
  <pageMargins left="0.1968503937007874" right="0.1968503937007874" top="0.3937007874015748" bottom="0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4">
      <selection activeCell="G38" sqref="G38"/>
    </sheetView>
  </sheetViews>
  <sheetFormatPr defaultColWidth="9.00390625" defaultRowHeight="12.75"/>
  <cols>
    <col min="1" max="1" width="14.375" style="0" customWidth="1"/>
    <col min="2" max="3" width="11.00390625" style="0" customWidth="1"/>
    <col min="4" max="4" width="10.25390625" style="0" customWidth="1"/>
    <col min="14" max="14" width="9.75390625" style="0" bestFit="1" customWidth="1"/>
  </cols>
  <sheetData>
    <row r="2" spans="1:15" ht="14.25">
      <c r="A2" s="606" t="s">
        <v>395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</row>
    <row r="3" spans="1:15" ht="14.25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1:15" ht="14.25">
      <c r="A4" s="606" t="s">
        <v>396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</row>
    <row r="5" spans="1:15" ht="14.25">
      <c r="A5" s="607" t="s">
        <v>397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</row>
    <row r="6" spans="5:15" ht="14.25"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348"/>
    </row>
    <row r="7" spans="1:15" ht="12.75">
      <c r="A7" s="349" t="s">
        <v>107</v>
      </c>
      <c r="B7" s="615" t="s">
        <v>398</v>
      </c>
      <c r="C7" s="615"/>
      <c r="D7" s="615"/>
      <c r="E7" s="615" t="s">
        <v>399</v>
      </c>
      <c r="F7" s="615"/>
      <c r="G7" s="615"/>
      <c r="H7" s="615"/>
      <c r="I7" s="615"/>
      <c r="J7" s="615"/>
      <c r="K7" s="615"/>
      <c r="L7" s="615"/>
      <c r="M7" s="615"/>
      <c r="N7" s="615"/>
      <c r="O7" s="348"/>
    </row>
    <row r="8" spans="1:15" ht="12.75">
      <c r="A8" s="350" t="s">
        <v>400</v>
      </c>
      <c r="B8" s="351" t="s">
        <v>401</v>
      </c>
      <c r="C8" s="351" t="s">
        <v>402</v>
      </c>
      <c r="D8" s="351" t="s">
        <v>403</v>
      </c>
      <c r="E8" s="352">
        <v>1</v>
      </c>
      <c r="F8" s="352">
        <v>2</v>
      </c>
      <c r="G8" s="352">
        <v>3</v>
      </c>
      <c r="H8" s="352">
        <v>4</v>
      </c>
      <c r="I8" s="352">
        <v>5</v>
      </c>
      <c r="J8" s="352">
        <v>6</v>
      </c>
      <c r="K8" s="352">
        <v>7</v>
      </c>
      <c r="L8" s="352">
        <v>8</v>
      </c>
      <c r="M8" s="352">
        <v>9</v>
      </c>
      <c r="N8" s="352">
        <v>10</v>
      </c>
      <c r="O8" s="348"/>
    </row>
    <row r="9" spans="1:15" ht="14.25">
      <c r="A9" s="353" t="s">
        <v>404</v>
      </c>
      <c r="B9" s="152">
        <v>280</v>
      </c>
      <c r="C9" s="354">
        <v>266</v>
      </c>
      <c r="D9" s="354">
        <v>294</v>
      </c>
      <c r="E9" s="374">
        <f>ясли!G18</f>
        <v>280</v>
      </c>
      <c r="F9" s="374">
        <f>ясли!G49</f>
        <v>274</v>
      </c>
      <c r="G9" s="374">
        <f>ясли!G77</f>
        <v>279.7</v>
      </c>
      <c r="H9" s="374">
        <f>ясли!G106</f>
        <v>286.4</v>
      </c>
      <c r="I9" s="374">
        <f>ясли!G136</f>
        <v>280.2</v>
      </c>
      <c r="J9" s="374">
        <f>ясли!G163</f>
        <v>281</v>
      </c>
      <c r="K9" s="374">
        <f>ясли!G194</f>
        <v>280.1666666666667</v>
      </c>
      <c r="L9" s="374">
        <f>ясли!G222</f>
        <v>278.4</v>
      </c>
      <c r="M9" s="355">
        <f>ясли!G251</f>
        <v>282.5</v>
      </c>
      <c r="N9" s="355">
        <f>ясли!G282</f>
        <v>280.1</v>
      </c>
      <c r="O9" s="348"/>
    </row>
    <row r="10" spans="1:15" ht="14.25">
      <c r="A10" s="356" t="s">
        <v>405</v>
      </c>
      <c r="B10" s="152">
        <v>70</v>
      </c>
      <c r="C10" s="354">
        <f>B10*0.95</f>
        <v>66.5</v>
      </c>
      <c r="D10" s="354">
        <f>B10*1.05</f>
        <v>73.5</v>
      </c>
      <c r="E10" s="374">
        <f>ясли!G22</f>
        <v>68</v>
      </c>
      <c r="F10" s="374">
        <f>ясли!G52</f>
        <v>74.4</v>
      </c>
      <c r="G10" s="374">
        <f>ясли!G80</f>
        <v>69</v>
      </c>
      <c r="H10" s="374">
        <f>ясли!G109</f>
        <v>72</v>
      </c>
      <c r="I10" s="374">
        <f>ясли!G139</f>
        <v>67.5</v>
      </c>
      <c r="J10" s="374">
        <f>ясли!G166</f>
        <v>68</v>
      </c>
      <c r="K10" s="374">
        <f>ясли!G197</f>
        <v>69</v>
      </c>
      <c r="L10" s="374">
        <f>ясли!G225</f>
        <v>73</v>
      </c>
      <c r="M10" s="355">
        <f>ясли!G255</f>
        <v>69</v>
      </c>
      <c r="N10" s="355">
        <f>ясли!G285</f>
        <v>71</v>
      </c>
      <c r="O10" s="348"/>
    </row>
    <row r="11" spans="1:15" ht="14.25">
      <c r="A11" s="356" t="s">
        <v>108</v>
      </c>
      <c r="B11" s="152">
        <v>490</v>
      </c>
      <c r="C11" s="354">
        <f>B11*0.95</f>
        <v>465.5</v>
      </c>
      <c r="D11" s="354">
        <f>B11*1.05</f>
        <v>514.5</v>
      </c>
      <c r="E11" s="374">
        <f>ясли!G32</f>
        <v>498.1</v>
      </c>
      <c r="F11" s="374">
        <f>ясли!G60</f>
        <v>487.5</v>
      </c>
      <c r="G11" s="374">
        <f>ясли!G89</f>
        <v>490.20000000000005</v>
      </c>
      <c r="H11" s="374">
        <f>ясли!G118</f>
        <v>486.02</v>
      </c>
      <c r="I11" s="374">
        <f>ясли!G148</f>
        <v>489.3</v>
      </c>
      <c r="J11" s="374">
        <f>ясли!G175</f>
        <v>495.79999999999995</v>
      </c>
      <c r="K11" s="374">
        <f>ясли!G206</f>
        <v>488.7</v>
      </c>
      <c r="L11" s="374">
        <f>ясли!G234</f>
        <v>489.79999999999995</v>
      </c>
      <c r="M11" s="355">
        <f>ясли!G265</f>
        <v>491.4</v>
      </c>
      <c r="N11" s="355">
        <f>ясли!G294</f>
        <v>481.79999999999995</v>
      </c>
      <c r="O11" s="348"/>
    </row>
    <row r="12" spans="1:15" ht="14.25">
      <c r="A12" s="356" t="s">
        <v>406</v>
      </c>
      <c r="B12" s="152">
        <v>420</v>
      </c>
      <c r="C12" s="354">
        <f>B12*0.95</f>
        <v>399</v>
      </c>
      <c r="D12" s="354">
        <f>B12*1.05</f>
        <v>441</v>
      </c>
      <c r="E12" s="374">
        <f>ясли!G40</f>
        <v>413.4</v>
      </c>
      <c r="F12" s="374">
        <f>ясли!G68</f>
        <v>424.5</v>
      </c>
      <c r="G12" s="374">
        <f>ясли!G97</f>
        <v>421.0263157894737</v>
      </c>
      <c r="H12" s="374">
        <f>ясли!G127</f>
        <v>415.90000000000003</v>
      </c>
      <c r="I12" s="374">
        <f>ясли!G155</f>
        <v>422.9</v>
      </c>
      <c r="J12" s="374">
        <f>ясли!G185</f>
        <v>415.6</v>
      </c>
      <c r="K12" s="374">
        <f>ясли!G213</f>
        <v>422.5</v>
      </c>
      <c r="L12" s="374">
        <f>ясли!G242</f>
        <v>419.2</v>
      </c>
      <c r="M12" s="374">
        <f>ясли!G273</f>
        <v>417.5</v>
      </c>
      <c r="N12" s="355">
        <f>ясли!G301</f>
        <v>426.6</v>
      </c>
      <c r="O12" s="348"/>
    </row>
    <row r="13" spans="1:15" ht="14.25">
      <c r="A13" s="357" t="s">
        <v>407</v>
      </c>
      <c r="B13" s="358">
        <f>SUM(B9:B12)</f>
        <v>1260</v>
      </c>
      <c r="C13" s="359"/>
      <c r="D13" s="359"/>
      <c r="E13" s="360">
        <f aca="true" t="shared" si="0" ref="E13:N13">SUM(E9:E12)</f>
        <v>1259.5</v>
      </c>
      <c r="F13" s="360">
        <f t="shared" si="0"/>
        <v>1260.4</v>
      </c>
      <c r="G13" s="360">
        <f t="shared" si="0"/>
        <v>1259.9263157894738</v>
      </c>
      <c r="H13" s="360">
        <f t="shared" si="0"/>
        <v>1260.32</v>
      </c>
      <c r="I13" s="360">
        <f t="shared" si="0"/>
        <v>1259.9</v>
      </c>
      <c r="J13" s="360">
        <f t="shared" si="0"/>
        <v>1260.4</v>
      </c>
      <c r="K13" s="360">
        <f t="shared" si="0"/>
        <v>1260.3666666666668</v>
      </c>
      <c r="L13" s="360">
        <f t="shared" si="0"/>
        <v>1260.3999999999999</v>
      </c>
      <c r="M13" s="360">
        <f t="shared" si="0"/>
        <v>1260.4</v>
      </c>
      <c r="N13" s="360">
        <f t="shared" si="0"/>
        <v>1259.5</v>
      </c>
      <c r="O13" s="348"/>
    </row>
    <row r="14" spans="1:15" ht="12.75" customHeight="1">
      <c r="A14" s="613" t="s">
        <v>408</v>
      </c>
      <c r="B14" s="613"/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</row>
    <row r="15" spans="1:15" ht="12.75">
      <c r="A15" s="361" t="s">
        <v>409</v>
      </c>
      <c r="B15" s="362"/>
      <c r="C15" s="363"/>
      <c r="D15" s="363"/>
      <c r="E15" s="363"/>
      <c r="F15" s="363"/>
      <c r="G15" s="363"/>
      <c r="H15" s="363"/>
      <c r="I15" s="364"/>
      <c r="J15" s="361"/>
      <c r="K15" s="361"/>
      <c r="L15" s="362"/>
      <c r="M15" s="362"/>
      <c r="N15" s="365"/>
      <c r="O15" s="366"/>
    </row>
    <row r="16" spans="1:15" ht="12.75">
      <c r="A16" s="367" t="s">
        <v>410</v>
      </c>
      <c r="B16" s="368"/>
      <c r="C16" s="368"/>
      <c r="D16" s="368"/>
      <c r="E16" s="368"/>
      <c r="F16" s="369"/>
      <c r="G16" s="369"/>
      <c r="H16" s="369"/>
      <c r="I16" s="369"/>
      <c r="J16" s="369"/>
      <c r="K16" s="369"/>
      <c r="L16" s="369"/>
      <c r="M16" s="369"/>
      <c r="N16" s="369"/>
      <c r="O16" s="370"/>
    </row>
    <row r="17" spans="1:15" ht="12.75">
      <c r="A17" s="367"/>
      <c r="B17" s="368"/>
      <c r="C17" s="368"/>
      <c r="D17" s="368"/>
      <c r="E17" s="368"/>
      <c r="F17" s="369"/>
      <c r="G17" s="369"/>
      <c r="H17" s="369"/>
      <c r="I17" s="369"/>
      <c r="J17" s="369"/>
      <c r="K17" s="369"/>
      <c r="L17" s="369"/>
      <c r="M17" s="369"/>
      <c r="N17" s="369"/>
      <c r="O17" s="370"/>
    </row>
    <row r="18" spans="1:15" ht="14.25">
      <c r="A18" s="606" t="s">
        <v>411</v>
      </c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6"/>
      <c r="O18" s="606"/>
    </row>
    <row r="19" spans="1:15" ht="14.25">
      <c r="A19" s="607" t="s">
        <v>412</v>
      </c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</row>
    <row r="20" spans="1:15" ht="14.2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8"/>
    </row>
    <row r="21" spans="1:15" ht="12.75">
      <c r="A21" s="349" t="s">
        <v>107</v>
      </c>
      <c r="B21" s="608" t="s">
        <v>413</v>
      </c>
      <c r="C21" s="610" t="s">
        <v>414</v>
      </c>
      <c r="D21" s="611"/>
      <c r="E21" s="612"/>
      <c r="F21" s="610" t="s">
        <v>399</v>
      </c>
      <c r="G21" s="611"/>
      <c r="H21" s="611"/>
      <c r="I21" s="611"/>
      <c r="J21" s="611"/>
      <c r="K21" s="611"/>
      <c r="L21" s="611"/>
      <c r="M21" s="611"/>
      <c r="N21" s="611"/>
      <c r="O21" s="612"/>
    </row>
    <row r="22" spans="1:15" ht="25.5">
      <c r="A22" s="350" t="s">
        <v>400</v>
      </c>
      <c r="B22" s="609"/>
      <c r="C22" s="371" t="s">
        <v>415</v>
      </c>
      <c r="D22" s="371" t="s">
        <v>416</v>
      </c>
      <c r="E22" s="371" t="s">
        <v>417</v>
      </c>
      <c r="F22" s="352">
        <v>1</v>
      </c>
      <c r="G22" s="352">
        <v>2</v>
      </c>
      <c r="H22" s="352">
        <v>3</v>
      </c>
      <c r="I22" s="352">
        <v>4</v>
      </c>
      <c r="J22" s="352">
        <v>5</v>
      </c>
      <c r="K22" s="352">
        <v>6</v>
      </c>
      <c r="L22" s="352">
        <v>7</v>
      </c>
      <c r="M22" s="352">
        <v>8</v>
      </c>
      <c r="N22" s="352">
        <v>9</v>
      </c>
      <c r="O22" s="352">
        <v>10</v>
      </c>
    </row>
    <row r="23" spans="1:15" ht="14.25">
      <c r="A23" s="353" t="s">
        <v>404</v>
      </c>
      <c r="B23" s="152">
        <v>280</v>
      </c>
      <c r="C23" s="354">
        <f>(F23+G23+H23+I23+J23)/5</f>
        <v>280.06</v>
      </c>
      <c r="D23" s="354">
        <f>(K23+L23+M23+N23+O23)/5</f>
        <v>280.4333333333333</v>
      </c>
      <c r="E23" s="373">
        <f>(F23+G23+H23+I23+J23+K23+L23+M23+N23+O23)/10</f>
        <v>280.24666666666667</v>
      </c>
      <c r="F23" s="355">
        <f>E9</f>
        <v>280</v>
      </c>
      <c r="G23" s="355">
        <f aca="true" t="shared" si="1" ref="F23:O26">F9</f>
        <v>274</v>
      </c>
      <c r="H23" s="355">
        <f t="shared" si="1"/>
        <v>279.7</v>
      </c>
      <c r="I23" s="355">
        <f t="shared" si="1"/>
        <v>286.4</v>
      </c>
      <c r="J23" s="355">
        <f t="shared" si="1"/>
        <v>280.2</v>
      </c>
      <c r="K23" s="355">
        <f t="shared" si="1"/>
        <v>281</v>
      </c>
      <c r="L23" s="355">
        <f t="shared" si="1"/>
        <v>280.1666666666667</v>
      </c>
      <c r="M23" s="355">
        <f t="shared" si="1"/>
        <v>278.4</v>
      </c>
      <c r="N23" s="355">
        <f t="shared" si="1"/>
        <v>282.5</v>
      </c>
      <c r="O23" s="355">
        <f t="shared" si="1"/>
        <v>280.1</v>
      </c>
    </row>
    <row r="24" spans="1:15" ht="14.25">
      <c r="A24" s="356" t="s">
        <v>405</v>
      </c>
      <c r="B24" s="152">
        <v>70</v>
      </c>
      <c r="C24" s="373">
        <f>(F24+G24+H24+I24+J24)/5</f>
        <v>70.17999999999999</v>
      </c>
      <c r="D24" s="354">
        <f>(K24+L24+M24+N24+O24)/5</f>
        <v>70</v>
      </c>
      <c r="E24" s="373">
        <f>(F24+G24+H24+I24+J24+K24+L24+M24+N24+O24)/10</f>
        <v>70.09</v>
      </c>
      <c r="F24" s="355">
        <f t="shared" si="1"/>
        <v>68</v>
      </c>
      <c r="G24" s="355">
        <f t="shared" si="1"/>
        <v>74.4</v>
      </c>
      <c r="H24" s="355">
        <f t="shared" si="1"/>
        <v>69</v>
      </c>
      <c r="I24" s="355">
        <f t="shared" si="1"/>
        <v>72</v>
      </c>
      <c r="J24" s="355">
        <f t="shared" si="1"/>
        <v>67.5</v>
      </c>
      <c r="K24" s="355">
        <f t="shared" si="1"/>
        <v>68</v>
      </c>
      <c r="L24" s="355">
        <f t="shared" si="1"/>
        <v>69</v>
      </c>
      <c r="M24" s="355">
        <f t="shared" si="1"/>
        <v>73</v>
      </c>
      <c r="N24" s="355">
        <f t="shared" si="1"/>
        <v>69</v>
      </c>
      <c r="O24" s="355">
        <f t="shared" si="1"/>
        <v>71</v>
      </c>
    </row>
    <row r="25" spans="1:15" ht="14.25">
      <c r="A25" s="356" t="s">
        <v>108</v>
      </c>
      <c r="B25" s="152">
        <v>490</v>
      </c>
      <c r="C25" s="354">
        <f>(F25+G25+H25+I25+J25)/5</f>
        <v>490.22400000000005</v>
      </c>
      <c r="D25" s="354">
        <f>(K25+L25+M25+N25+O25)/5</f>
        <v>489.5</v>
      </c>
      <c r="E25" s="373">
        <f>(F25+G25+H25+I25+J25+K25+L25+M25+N25+O25)/10</f>
        <v>489.86199999999997</v>
      </c>
      <c r="F25" s="355">
        <f t="shared" si="1"/>
        <v>498.1</v>
      </c>
      <c r="G25" s="355">
        <f t="shared" si="1"/>
        <v>487.5</v>
      </c>
      <c r="H25" s="355">
        <f t="shared" si="1"/>
        <v>490.20000000000005</v>
      </c>
      <c r="I25" s="355">
        <f t="shared" si="1"/>
        <v>486.02</v>
      </c>
      <c r="J25" s="355">
        <f t="shared" si="1"/>
        <v>489.3</v>
      </c>
      <c r="K25" s="355">
        <f t="shared" si="1"/>
        <v>495.79999999999995</v>
      </c>
      <c r="L25" s="374">
        <f t="shared" si="1"/>
        <v>488.7</v>
      </c>
      <c r="M25" s="355">
        <f t="shared" si="1"/>
        <v>489.79999999999995</v>
      </c>
      <c r="N25" s="355">
        <f t="shared" si="1"/>
        <v>491.4</v>
      </c>
      <c r="O25" s="355">
        <f t="shared" si="1"/>
        <v>481.79999999999995</v>
      </c>
    </row>
    <row r="26" spans="1:15" ht="14.25">
      <c r="A26" s="356" t="s">
        <v>406</v>
      </c>
      <c r="B26" s="152">
        <v>420</v>
      </c>
      <c r="C26" s="354">
        <f>(F26+G26+H26+I26+J26)/5</f>
        <v>419.54526315789474</v>
      </c>
      <c r="D26" s="354">
        <f>(K26+L26+M26+N26+O26)/5</f>
        <v>420.28000000000003</v>
      </c>
      <c r="E26" s="373">
        <f>(F26+G26+H26+I26+J26+K26+L26+M26+N26+O26)/10</f>
        <v>419.91263157894736</v>
      </c>
      <c r="F26" s="355">
        <f t="shared" si="1"/>
        <v>413.4</v>
      </c>
      <c r="G26" s="355">
        <f t="shared" si="1"/>
        <v>424.5</v>
      </c>
      <c r="H26" s="355">
        <f t="shared" si="1"/>
        <v>421.0263157894737</v>
      </c>
      <c r="I26" s="355">
        <f t="shared" si="1"/>
        <v>415.90000000000003</v>
      </c>
      <c r="J26" s="355">
        <f t="shared" si="1"/>
        <v>422.9</v>
      </c>
      <c r="K26" s="355">
        <f t="shared" si="1"/>
        <v>415.6</v>
      </c>
      <c r="L26" s="355">
        <f t="shared" si="1"/>
        <v>422.5</v>
      </c>
      <c r="M26" s="355">
        <f t="shared" si="1"/>
        <v>419.2</v>
      </c>
      <c r="N26" s="355">
        <f t="shared" si="1"/>
        <v>417.5</v>
      </c>
      <c r="O26" s="355">
        <f t="shared" si="1"/>
        <v>426.6</v>
      </c>
    </row>
    <row r="27" spans="1:15" ht="14.25">
      <c r="A27" s="357" t="s">
        <v>407</v>
      </c>
      <c r="B27" s="358">
        <f aca="true" t="shared" si="2" ref="B27:O27">SUM(B23:B26)</f>
        <v>1260</v>
      </c>
      <c r="C27" s="375">
        <f t="shared" si="2"/>
        <v>1260.0092631578948</v>
      </c>
      <c r="D27" s="375">
        <f t="shared" si="2"/>
        <v>1260.2133333333334</v>
      </c>
      <c r="E27" s="375">
        <f t="shared" si="2"/>
        <v>1260.111298245614</v>
      </c>
      <c r="F27" s="360">
        <f t="shared" si="2"/>
        <v>1259.5</v>
      </c>
      <c r="G27" s="360">
        <f t="shared" si="2"/>
        <v>1260.4</v>
      </c>
      <c r="H27" s="360">
        <f t="shared" si="2"/>
        <v>1259.9263157894738</v>
      </c>
      <c r="I27" s="360">
        <f t="shared" si="2"/>
        <v>1260.32</v>
      </c>
      <c r="J27" s="360">
        <f t="shared" si="2"/>
        <v>1259.9</v>
      </c>
      <c r="K27" s="360">
        <f t="shared" si="2"/>
        <v>1260.4</v>
      </c>
      <c r="L27" s="360">
        <f t="shared" si="2"/>
        <v>1260.3666666666668</v>
      </c>
      <c r="M27" s="360">
        <f t="shared" si="2"/>
        <v>1260.3999999999999</v>
      </c>
      <c r="N27" s="360">
        <f t="shared" si="2"/>
        <v>1260.4</v>
      </c>
      <c r="O27" s="360">
        <f t="shared" si="2"/>
        <v>1259.5</v>
      </c>
    </row>
    <row r="28" spans="5:15" ht="12.75"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48"/>
    </row>
    <row r="29" spans="1:15" ht="14.25">
      <c r="A29" s="606" t="s">
        <v>418</v>
      </c>
      <c r="B29" s="606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</row>
    <row r="30" spans="1:15" ht="14.25">
      <c r="A30" s="607" t="s">
        <v>419</v>
      </c>
      <c r="B30" s="607"/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07"/>
    </row>
    <row r="31" spans="5:15" ht="12.75"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48"/>
    </row>
    <row r="32" spans="5:15" ht="12.75"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48"/>
    </row>
    <row r="33" spans="1:15" ht="12.75">
      <c r="A33" s="349" t="s">
        <v>107</v>
      </c>
      <c r="B33" s="608" t="s">
        <v>420</v>
      </c>
      <c r="C33" s="610" t="s">
        <v>414</v>
      </c>
      <c r="D33" s="611"/>
      <c r="E33" s="612"/>
      <c r="F33" s="610" t="s">
        <v>399</v>
      </c>
      <c r="G33" s="611"/>
      <c r="H33" s="611"/>
      <c r="I33" s="611"/>
      <c r="J33" s="611"/>
      <c r="K33" s="611"/>
      <c r="L33" s="611"/>
      <c r="M33" s="611"/>
      <c r="N33" s="611"/>
      <c r="O33" s="612"/>
    </row>
    <row r="34" spans="1:15" ht="25.5">
      <c r="A34" s="350" t="s">
        <v>400</v>
      </c>
      <c r="B34" s="609"/>
      <c r="C34" s="371" t="s">
        <v>415</v>
      </c>
      <c r="D34" s="371" t="s">
        <v>416</v>
      </c>
      <c r="E34" s="371" t="s">
        <v>417</v>
      </c>
      <c r="F34" s="352">
        <v>1</v>
      </c>
      <c r="G34" s="352">
        <v>2</v>
      </c>
      <c r="H34" s="352">
        <v>3</v>
      </c>
      <c r="I34" s="352">
        <v>4</v>
      </c>
      <c r="J34" s="352">
        <v>5</v>
      </c>
      <c r="K34" s="352">
        <v>6</v>
      </c>
      <c r="L34" s="352">
        <v>7</v>
      </c>
      <c r="M34" s="352">
        <v>8</v>
      </c>
      <c r="N34" s="352">
        <v>9</v>
      </c>
      <c r="O34" s="352">
        <v>10</v>
      </c>
    </row>
    <row r="35" spans="1:15" ht="14.25">
      <c r="A35" s="377" t="s">
        <v>421</v>
      </c>
      <c r="B35" s="372">
        <v>1260</v>
      </c>
      <c r="C35" s="373">
        <f aca="true" t="shared" si="3" ref="C35:O35">C27</f>
        <v>1260.0092631578948</v>
      </c>
      <c r="D35" s="373">
        <f t="shared" si="3"/>
        <v>1260.2133333333334</v>
      </c>
      <c r="E35" s="373">
        <f t="shared" si="3"/>
        <v>1260.111298245614</v>
      </c>
      <c r="F35" s="378">
        <f t="shared" si="3"/>
        <v>1259.5</v>
      </c>
      <c r="G35" s="378">
        <f t="shared" si="3"/>
        <v>1260.4</v>
      </c>
      <c r="H35" s="374">
        <f t="shared" si="3"/>
        <v>1259.9263157894738</v>
      </c>
      <c r="I35" s="374">
        <f t="shared" si="3"/>
        <v>1260.32</v>
      </c>
      <c r="J35" s="374">
        <f t="shared" si="3"/>
        <v>1259.9</v>
      </c>
      <c r="K35" s="374">
        <f t="shared" si="3"/>
        <v>1260.4</v>
      </c>
      <c r="L35" s="374">
        <f t="shared" si="3"/>
        <v>1260.3666666666668</v>
      </c>
      <c r="M35" s="374">
        <f t="shared" si="3"/>
        <v>1260.3999999999999</v>
      </c>
      <c r="N35" s="374">
        <f t="shared" si="3"/>
        <v>1260.4</v>
      </c>
      <c r="O35" s="374">
        <f t="shared" si="3"/>
        <v>1259.5</v>
      </c>
    </row>
    <row r="36" spans="5:15" ht="12.75"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48"/>
    </row>
    <row r="37" spans="5:15" ht="12.75"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48"/>
    </row>
    <row r="38" spans="5:15" ht="12.75"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48"/>
    </row>
  </sheetData>
  <sheetProtection/>
  <mergeCells count="17">
    <mergeCell ref="F21:O21"/>
    <mergeCell ref="A2:O2"/>
    <mergeCell ref="A4:O4"/>
    <mergeCell ref="A5:O5"/>
    <mergeCell ref="E6:N6"/>
    <mergeCell ref="B7:D7"/>
    <mergeCell ref="E7:N7"/>
    <mergeCell ref="A29:O29"/>
    <mergeCell ref="A30:O30"/>
    <mergeCell ref="B33:B34"/>
    <mergeCell ref="C33:E33"/>
    <mergeCell ref="F33:O33"/>
    <mergeCell ref="A14:O14"/>
    <mergeCell ref="A18:O18"/>
    <mergeCell ref="A19:O19"/>
    <mergeCell ref="B21:B22"/>
    <mergeCell ref="C21:E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62">
      <selection activeCell="M63" sqref="M63"/>
    </sheetView>
  </sheetViews>
  <sheetFormatPr defaultColWidth="9.00390625" defaultRowHeight="12.75"/>
  <cols>
    <col min="1" max="1" width="4.625" style="186" customWidth="1"/>
    <col min="2" max="2" width="31.125" style="186" customWidth="1"/>
    <col min="3" max="3" width="6.25390625" style="186" customWidth="1"/>
    <col min="4" max="4" width="7.25390625" style="186" customWidth="1"/>
    <col min="5" max="5" width="5.75390625" style="186" customWidth="1"/>
    <col min="6" max="6" width="5.25390625" style="186" customWidth="1"/>
    <col min="7" max="7" width="5.625" style="186" customWidth="1"/>
    <col min="8" max="8" width="5.75390625" style="186" customWidth="1"/>
    <col min="9" max="9" width="5.875" style="186" customWidth="1"/>
    <col min="10" max="12" width="5.75390625" style="186" customWidth="1"/>
    <col min="13" max="13" width="6.625" style="186" customWidth="1"/>
    <col min="14" max="14" width="6.00390625" style="186" customWidth="1"/>
    <col min="15" max="15" width="8.625" style="187" customWidth="1"/>
    <col min="16" max="16" width="8.25390625" style="187" customWidth="1"/>
    <col min="17" max="17" width="13.125" style="189" customWidth="1"/>
  </cols>
  <sheetData>
    <row r="1" spans="2:4" ht="18">
      <c r="B1" s="188" t="s">
        <v>302</v>
      </c>
      <c r="D1" s="186" t="s">
        <v>303</v>
      </c>
    </row>
    <row r="2" spans="1:17" ht="12.75">
      <c r="A2" s="564" t="s">
        <v>145</v>
      </c>
      <c r="B2" s="564" t="s">
        <v>146</v>
      </c>
      <c r="C2" s="566" t="s">
        <v>147</v>
      </c>
      <c r="D2" s="566"/>
      <c r="E2" s="633" t="s">
        <v>148</v>
      </c>
      <c r="F2" s="634"/>
      <c r="G2" s="634"/>
      <c r="H2" s="634"/>
      <c r="I2" s="634"/>
      <c r="J2" s="634"/>
      <c r="K2" s="634"/>
      <c r="L2" s="634"/>
      <c r="M2" s="634"/>
      <c r="N2" s="635"/>
      <c r="O2" s="562" t="s">
        <v>149</v>
      </c>
      <c r="P2" s="562" t="s">
        <v>150</v>
      </c>
      <c r="Q2" s="631" t="s">
        <v>151</v>
      </c>
    </row>
    <row r="3" spans="1:17" ht="12.75">
      <c r="A3" s="565"/>
      <c r="B3" s="565"/>
      <c r="C3" s="147" t="s">
        <v>152</v>
      </c>
      <c r="D3" s="148" t="s">
        <v>153</v>
      </c>
      <c r="E3" s="148">
        <v>1</v>
      </c>
      <c r="F3" s="148">
        <v>2</v>
      </c>
      <c r="G3" s="345">
        <v>3</v>
      </c>
      <c r="H3" s="148">
        <v>4</v>
      </c>
      <c r="I3" s="148">
        <v>5</v>
      </c>
      <c r="J3" s="148">
        <v>6</v>
      </c>
      <c r="K3" s="148">
        <v>7</v>
      </c>
      <c r="L3" s="148">
        <v>8</v>
      </c>
      <c r="M3" s="148">
        <v>9</v>
      </c>
      <c r="N3" s="148">
        <v>10</v>
      </c>
      <c r="O3" s="563"/>
      <c r="P3" s="563"/>
      <c r="Q3" s="632"/>
    </row>
    <row r="4" spans="1:17" ht="45">
      <c r="A4" s="149" t="s">
        <v>154</v>
      </c>
      <c r="B4" s="150" t="s">
        <v>155</v>
      </c>
      <c r="C4" s="149">
        <v>351</v>
      </c>
      <c r="D4" s="151">
        <f aca="true" t="shared" si="0" ref="D4:D38">C4*10</f>
        <v>3510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>
        <f>SUM(O5:O8)</f>
        <v>2753.3</v>
      </c>
      <c r="P4" s="154">
        <f>O4/10</f>
        <v>275.33000000000004</v>
      </c>
      <c r="Q4" s="155">
        <f>(O4-D4)/10</f>
        <v>-75.66999999999999</v>
      </c>
    </row>
    <row r="5" spans="1:17" ht="15">
      <c r="A5" s="182"/>
      <c r="B5" s="157" t="s">
        <v>156</v>
      </c>
      <c r="C5" s="158">
        <v>197</v>
      </c>
      <c r="D5" s="159">
        <f t="shared" si="0"/>
        <v>1970</v>
      </c>
      <c r="E5" s="160">
        <v>206.3</v>
      </c>
      <c r="F5" s="160">
        <v>246</v>
      </c>
      <c r="G5" s="160">
        <v>187.1</v>
      </c>
      <c r="H5" s="160">
        <v>305</v>
      </c>
      <c r="I5" s="160">
        <f>52.8+5.8</f>
        <v>58.599999999999994</v>
      </c>
      <c r="J5" s="160">
        <v>329</v>
      </c>
      <c r="K5" s="160">
        <v>140</v>
      </c>
      <c r="L5" s="160">
        <v>38.3</v>
      </c>
      <c r="M5" s="160">
        <v>155</v>
      </c>
      <c r="N5" s="160">
        <v>315</v>
      </c>
      <c r="O5" s="153">
        <f aca="true" t="shared" si="1" ref="O5:O37">SUM(E5:N5)</f>
        <v>1980.3</v>
      </c>
      <c r="P5" s="161">
        <f aca="true" t="shared" si="2" ref="P5:P39">O5/10</f>
        <v>198.03</v>
      </c>
      <c r="Q5" s="162">
        <f aca="true" t="shared" si="3" ref="Q5:Q39">(O5-D5)/10</f>
        <v>1.0299999999999954</v>
      </c>
    </row>
    <row r="6" spans="1:17" ht="30">
      <c r="A6" s="183"/>
      <c r="B6" s="157" t="s">
        <v>157</v>
      </c>
      <c r="C6" s="158">
        <v>20</v>
      </c>
      <c r="D6" s="159">
        <f t="shared" si="0"/>
        <v>200</v>
      </c>
      <c r="E6" s="160"/>
      <c r="F6" s="160"/>
      <c r="G6" s="160">
        <v>40</v>
      </c>
      <c r="H6" s="160"/>
      <c r="I6" s="160"/>
      <c r="J6" s="160"/>
      <c r="K6" s="160">
        <v>34</v>
      </c>
      <c r="L6" s="160">
        <v>35</v>
      </c>
      <c r="M6" s="160">
        <v>34</v>
      </c>
      <c r="N6" s="160"/>
      <c r="O6" s="153">
        <f t="shared" si="1"/>
        <v>143</v>
      </c>
      <c r="P6" s="161">
        <f t="shared" si="2"/>
        <v>14.3</v>
      </c>
      <c r="Q6" s="162">
        <f t="shared" si="3"/>
        <v>-5.7</v>
      </c>
    </row>
    <row r="7" spans="1:17" ht="15">
      <c r="A7" s="183"/>
      <c r="B7" s="157" t="s">
        <v>158</v>
      </c>
      <c r="C7" s="158">
        <v>44</v>
      </c>
      <c r="D7" s="159">
        <f t="shared" si="0"/>
        <v>440</v>
      </c>
      <c r="E7" s="160">
        <v>110</v>
      </c>
      <c r="F7" s="160"/>
      <c r="G7" s="160">
        <v>110</v>
      </c>
      <c r="H7" s="160"/>
      <c r="I7" s="160"/>
      <c r="J7" s="160"/>
      <c r="K7" s="160"/>
      <c r="L7" s="160">
        <v>110</v>
      </c>
      <c r="M7" s="160"/>
      <c r="N7" s="160"/>
      <c r="O7" s="153">
        <f t="shared" si="1"/>
        <v>330</v>
      </c>
      <c r="P7" s="161">
        <f t="shared" si="2"/>
        <v>33</v>
      </c>
      <c r="Q7" s="162">
        <f t="shared" si="3"/>
        <v>-11</v>
      </c>
    </row>
    <row r="8" spans="1:17" ht="30">
      <c r="A8" s="182"/>
      <c r="B8" s="157" t="s">
        <v>159</v>
      </c>
      <c r="C8" s="158">
        <v>30</v>
      </c>
      <c r="D8" s="159">
        <f t="shared" si="0"/>
        <v>300</v>
      </c>
      <c r="E8" s="160"/>
      <c r="F8" s="160"/>
      <c r="G8" s="160">
        <v>150</v>
      </c>
      <c r="H8" s="160"/>
      <c r="I8" s="160"/>
      <c r="J8" s="160"/>
      <c r="K8" s="160"/>
      <c r="L8" s="160">
        <v>150</v>
      </c>
      <c r="M8" s="160"/>
      <c r="N8" s="160"/>
      <c r="O8" s="153">
        <f t="shared" si="1"/>
        <v>300</v>
      </c>
      <c r="P8" s="161">
        <f t="shared" si="2"/>
        <v>30</v>
      </c>
      <c r="Q8" s="162">
        <f t="shared" si="3"/>
        <v>0</v>
      </c>
    </row>
    <row r="9" spans="1:17" ht="15">
      <c r="A9" s="181" t="s">
        <v>160</v>
      </c>
      <c r="B9" s="156" t="s">
        <v>161</v>
      </c>
      <c r="C9" s="158">
        <v>27</v>
      </c>
      <c r="D9" s="159">
        <f t="shared" si="0"/>
        <v>270</v>
      </c>
      <c r="E9" s="160"/>
      <c r="F9" s="160"/>
      <c r="G9" s="437">
        <v>112</v>
      </c>
      <c r="H9" s="160"/>
      <c r="I9" s="160"/>
      <c r="J9" s="160"/>
      <c r="K9" s="160"/>
      <c r="L9" s="160">
        <v>76.7</v>
      </c>
      <c r="M9" s="160"/>
      <c r="N9" s="160">
        <v>23.8</v>
      </c>
      <c r="O9" s="153">
        <f t="shared" si="1"/>
        <v>212.5</v>
      </c>
      <c r="P9" s="161">
        <f t="shared" si="2"/>
        <v>21.25</v>
      </c>
      <c r="Q9" s="162">
        <f t="shared" si="3"/>
        <v>-5.75</v>
      </c>
    </row>
    <row r="10" spans="1:17" ht="30">
      <c r="A10" s="181" t="s">
        <v>162</v>
      </c>
      <c r="B10" s="156" t="s">
        <v>163</v>
      </c>
      <c r="C10" s="158">
        <v>8</v>
      </c>
      <c r="D10" s="159">
        <f t="shared" si="0"/>
        <v>80</v>
      </c>
      <c r="E10" s="160"/>
      <c r="F10" s="160"/>
      <c r="G10" s="160">
        <v>3.6</v>
      </c>
      <c r="H10" s="160">
        <v>8.1</v>
      </c>
      <c r="I10" s="160">
        <v>5</v>
      </c>
      <c r="J10" s="160"/>
      <c r="K10" s="160">
        <v>9.3</v>
      </c>
      <c r="L10" s="160">
        <v>3.9</v>
      </c>
      <c r="M10" s="160">
        <v>8.4</v>
      </c>
      <c r="N10" s="160">
        <v>19.3</v>
      </c>
      <c r="O10" s="153">
        <f t="shared" si="1"/>
        <v>57.599999999999994</v>
      </c>
      <c r="P10" s="161">
        <f t="shared" si="2"/>
        <v>5.76</v>
      </c>
      <c r="Q10" s="162">
        <f t="shared" si="3"/>
        <v>-2.2400000000000007</v>
      </c>
    </row>
    <row r="11" spans="1:17" ht="15">
      <c r="A11" s="181" t="s">
        <v>164</v>
      </c>
      <c r="B11" s="156" t="s">
        <v>165</v>
      </c>
      <c r="C11" s="158">
        <v>3.6</v>
      </c>
      <c r="D11" s="159">
        <f t="shared" si="0"/>
        <v>36</v>
      </c>
      <c r="E11" s="160"/>
      <c r="F11" s="160"/>
      <c r="G11" s="160">
        <v>20</v>
      </c>
      <c r="H11" s="160">
        <v>8</v>
      </c>
      <c r="I11" s="160"/>
      <c r="J11" s="160"/>
      <c r="K11" s="160">
        <v>10</v>
      </c>
      <c r="L11" s="160"/>
      <c r="M11" s="160">
        <v>5</v>
      </c>
      <c r="N11" s="160"/>
      <c r="O11" s="153">
        <f t="shared" si="1"/>
        <v>43</v>
      </c>
      <c r="P11" s="161">
        <f t="shared" si="2"/>
        <v>4.3</v>
      </c>
      <c r="Q11" s="162">
        <f t="shared" si="3"/>
        <v>0.7</v>
      </c>
    </row>
    <row r="12" spans="1:17" ht="45">
      <c r="A12" s="149" t="s">
        <v>166</v>
      </c>
      <c r="B12" s="164" t="s">
        <v>167</v>
      </c>
      <c r="C12" s="149">
        <v>45</v>
      </c>
      <c r="D12" s="151">
        <f t="shared" si="0"/>
        <v>450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>
        <f>SUM(O13:O14)</f>
        <v>372.7</v>
      </c>
      <c r="P12" s="154">
        <f t="shared" si="2"/>
        <v>37.269999999999996</v>
      </c>
      <c r="Q12" s="155">
        <f>(O12-D12)/10</f>
        <v>-7.730000000000001</v>
      </c>
    </row>
    <row r="13" spans="1:17" ht="15">
      <c r="A13" s="181"/>
      <c r="B13" s="157" t="s">
        <v>168</v>
      </c>
      <c r="C13" s="158">
        <v>40.5</v>
      </c>
      <c r="D13" s="159">
        <f t="shared" si="0"/>
        <v>405</v>
      </c>
      <c r="E13" s="160"/>
      <c r="F13" s="160">
        <v>32</v>
      </c>
      <c r="G13" s="160">
        <v>61</v>
      </c>
      <c r="H13" s="160">
        <v>24</v>
      </c>
      <c r="I13" s="160">
        <v>32</v>
      </c>
      <c r="J13" s="160">
        <v>18</v>
      </c>
      <c r="K13" s="160">
        <v>104</v>
      </c>
      <c r="L13" s="160"/>
      <c r="M13" s="160">
        <v>13.7</v>
      </c>
      <c r="N13" s="160">
        <v>44</v>
      </c>
      <c r="O13" s="153">
        <f t="shared" si="1"/>
        <v>328.7</v>
      </c>
      <c r="P13" s="161">
        <f t="shared" si="2"/>
        <v>32.87</v>
      </c>
      <c r="Q13" s="162">
        <f t="shared" si="3"/>
        <v>-7.630000000000001</v>
      </c>
    </row>
    <row r="14" spans="1:17" ht="15">
      <c r="A14" s="181"/>
      <c r="B14" s="157" t="s">
        <v>169</v>
      </c>
      <c r="C14" s="158">
        <v>4.5</v>
      </c>
      <c r="D14" s="159">
        <f t="shared" si="0"/>
        <v>45</v>
      </c>
      <c r="E14" s="160">
        <v>26</v>
      </c>
      <c r="F14" s="160"/>
      <c r="G14" s="160"/>
      <c r="H14" s="160"/>
      <c r="I14" s="160"/>
      <c r="J14" s="160">
        <v>18</v>
      </c>
      <c r="K14" s="160"/>
      <c r="L14" s="160"/>
      <c r="M14" s="160"/>
      <c r="N14" s="160"/>
      <c r="O14" s="153">
        <f t="shared" si="1"/>
        <v>44</v>
      </c>
      <c r="P14" s="161">
        <f t="shared" si="2"/>
        <v>4.4</v>
      </c>
      <c r="Q14" s="162">
        <f t="shared" si="3"/>
        <v>-0.1</v>
      </c>
    </row>
    <row r="15" spans="1:17" ht="30">
      <c r="A15" s="149" t="s">
        <v>170</v>
      </c>
      <c r="B15" s="164" t="s">
        <v>171</v>
      </c>
      <c r="C15" s="149">
        <v>18</v>
      </c>
      <c r="D15" s="151">
        <f t="shared" si="0"/>
        <v>180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3">
        <f>SUM(O16:O17)</f>
        <v>156.7</v>
      </c>
      <c r="P15" s="154">
        <f t="shared" si="2"/>
        <v>15.669999999999998</v>
      </c>
      <c r="Q15" s="155">
        <f t="shared" si="3"/>
        <v>-2.330000000000001</v>
      </c>
    </row>
    <row r="16" spans="1:17" ht="30">
      <c r="A16" s="181"/>
      <c r="B16" s="157" t="s">
        <v>172</v>
      </c>
      <c r="C16" s="158">
        <v>9</v>
      </c>
      <c r="D16" s="159">
        <f t="shared" si="0"/>
        <v>90</v>
      </c>
      <c r="E16" s="160"/>
      <c r="F16" s="160"/>
      <c r="G16" s="160"/>
      <c r="H16" s="160">
        <v>52</v>
      </c>
      <c r="I16" s="160"/>
      <c r="J16" s="160"/>
      <c r="K16" s="160"/>
      <c r="L16" s="160">
        <v>13.7</v>
      </c>
      <c r="M16" s="160"/>
      <c r="N16" s="160"/>
      <c r="O16" s="153">
        <f t="shared" si="1"/>
        <v>65.7</v>
      </c>
      <c r="P16" s="161">
        <f t="shared" si="2"/>
        <v>6.57</v>
      </c>
      <c r="Q16" s="162">
        <f t="shared" si="3"/>
        <v>-2.4299999999999997</v>
      </c>
    </row>
    <row r="17" spans="1:17" ht="30">
      <c r="A17" s="181"/>
      <c r="B17" s="157" t="s">
        <v>173</v>
      </c>
      <c r="C17" s="158">
        <v>9</v>
      </c>
      <c r="D17" s="159">
        <f t="shared" si="0"/>
        <v>90</v>
      </c>
      <c r="E17" s="160">
        <v>26</v>
      </c>
      <c r="F17" s="160"/>
      <c r="G17" s="160"/>
      <c r="H17" s="160"/>
      <c r="I17" s="160"/>
      <c r="J17" s="160">
        <v>21</v>
      </c>
      <c r="K17" s="160"/>
      <c r="L17" s="160"/>
      <c r="M17" s="160">
        <v>44</v>
      </c>
      <c r="N17" s="160"/>
      <c r="O17" s="153">
        <f t="shared" si="1"/>
        <v>91</v>
      </c>
      <c r="P17" s="161">
        <f t="shared" si="2"/>
        <v>9.1</v>
      </c>
      <c r="Q17" s="162">
        <f t="shared" si="3"/>
        <v>0.1</v>
      </c>
    </row>
    <row r="18" spans="1:17" ht="15">
      <c r="A18" s="149" t="s">
        <v>174</v>
      </c>
      <c r="B18" s="164" t="s">
        <v>175</v>
      </c>
      <c r="C18" s="149">
        <v>18</v>
      </c>
      <c r="D18" s="151">
        <f t="shared" si="0"/>
        <v>180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3">
        <f>SUM(O19)</f>
        <v>142</v>
      </c>
      <c r="P18" s="154">
        <f t="shared" si="2"/>
        <v>14.2</v>
      </c>
      <c r="Q18" s="155">
        <f t="shared" si="3"/>
        <v>-3.8</v>
      </c>
    </row>
    <row r="19" spans="1:17" ht="15">
      <c r="A19" s="181"/>
      <c r="B19" s="157" t="s">
        <v>176</v>
      </c>
      <c r="C19" s="158">
        <v>18</v>
      </c>
      <c r="D19" s="159">
        <f t="shared" si="0"/>
        <v>180</v>
      </c>
      <c r="E19" s="160"/>
      <c r="F19" s="160"/>
      <c r="G19" s="160"/>
      <c r="H19" s="160"/>
      <c r="I19" s="160">
        <v>60</v>
      </c>
      <c r="J19" s="160"/>
      <c r="K19" s="160"/>
      <c r="L19" s="160">
        <v>82</v>
      </c>
      <c r="M19" s="160"/>
      <c r="N19" s="160"/>
      <c r="O19" s="153">
        <f>SUM(E19:N19)</f>
        <v>142</v>
      </c>
      <c r="P19" s="161">
        <f t="shared" si="2"/>
        <v>14.2</v>
      </c>
      <c r="Q19" s="162">
        <f t="shared" si="3"/>
        <v>-3.8</v>
      </c>
    </row>
    <row r="20" spans="1:17" ht="30">
      <c r="A20" s="149" t="s">
        <v>177</v>
      </c>
      <c r="B20" s="164" t="s">
        <v>178</v>
      </c>
      <c r="C20" s="149">
        <v>29</v>
      </c>
      <c r="D20" s="151">
        <f t="shared" si="0"/>
        <v>290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3">
        <f>SUM(O21:O22)</f>
        <v>253</v>
      </c>
      <c r="P20" s="154">
        <f t="shared" si="2"/>
        <v>25.3</v>
      </c>
      <c r="Q20" s="155">
        <f t="shared" si="3"/>
        <v>-3.7</v>
      </c>
    </row>
    <row r="21" spans="1:17" ht="30">
      <c r="A21" s="181"/>
      <c r="B21" s="170" t="s">
        <v>300</v>
      </c>
      <c r="C21" s="166">
        <v>0</v>
      </c>
      <c r="D21" s="159">
        <f t="shared" si="0"/>
        <v>0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53">
        <f t="shared" si="1"/>
        <v>0</v>
      </c>
      <c r="P21" s="161">
        <f t="shared" si="2"/>
        <v>0</v>
      </c>
      <c r="Q21" s="162">
        <f t="shared" si="3"/>
        <v>0</v>
      </c>
    </row>
    <row r="22" spans="1:17" ht="30">
      <c r="A22" s="181"/>
      <c r="B22" s="173" t="s">
        <v>301</v>
      </c>
      <c r="C22" s="166">
        <v>33</v>
      </c>
      <c r="D22" s="159">
        <f t="shared" si="0"/>
        <v>330</v>
      </c>
      <c r="E22" s="160">
        <v>53</v>
      </c>
      <c r="F22" s="160">
        <v>45</v>
      </c>
      <c r="G22" s="160"/>
      <c r="H22" s="160">
        <v>50</v>
      </c>
      <c r="I22" s="160"/>
      <c r="J22" s="160">
        <v>64</v>
      </c>
      <c r="K22" s="160"/>
      <c r="L22" s="160"/>
      <c r="M22" s="160">
        <v>41</v>
      </c>
      <c r="N22" s="160"/>
      <c r="O22" s="153">
        <f t="shared" si="1"/>
        <v>253</v>
      </c>
      <c r="P22" s="161">
        <f t="shared" si="2"/>
        <v>25.3</v>
      </c>
      <c r="Q22" s="162">
        <f t="shared" si="3"/>
        <v>-7.7</v>
      </c>
    </row>
    <row r="23" spans="1:17" ht="15">
      <c r="A23" s="181" t="s">
        <v>181</v>
      </c>
      <c r="B23" s="156" t="s">
        <v>182</v>
      </c>
      <c r="C23" s="158">
        <v>36</v>
      </c>
      <c r="D23" s="159">
        <f t="shared" si="0"/>
        <v>360</v>
      </c>
      <c r="E23" s="160">
        <v>10.4</v>
      </c>
      <c r="F23" s="160">
        <v>2.4</v>
      </c>
      <c r="G23" s="160">
        <v>82.8</v>
      </c>
      <c r="H23" s="160">
        <v>10</v>
      </c>
      <c r="I23" s="160">
        <v>96.4</v>
      </c>
      <c r="J23" s="160">
        <v>4</v>
      </c>
      <c r="K23" s="160">
        <v>9.5</v>
      </c>
      <c r="L23" s="160">
        <v>61.3</v>
      </c>
      <c r="M23" s="160">
        <v>2</v>
      </c>
      <c r="N23" s="160">
        <v>3.8</v>
      </c>
      <c r="O23" s="153">
        <f t="shared" si="1"/>
        <v>282.6</v>
      </c>
      <c r="P23" s="161">
        <f t="shared" si="2"/>
        <v>28.26</v>
      </c>
      <c r="Q23" s="162">
        <f t="shared" si="3"/>
        <v>-7.7399999999999975</v>
      </c>
    </row>
    <row r="24" spans="1:17" ht="15">
      <c r="A24" s="149" t="s">
        <v>183</v>
      </c>
      <c r="B24" s="164" t="s">
        <v>184</v>
      </c>
      <c r="C24" s="165">
        <v>108</v>
      </c>
      <c r="D24" s="151">
        <f t="shared" si="0"/>
        <v>1080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>
        <f>O25</f>
        <v>1003</v>
      </c>
      <c r="P24" s="154">
        <f t="shared" si="2"/>
        <v>100.3</v>
      </c>
      <c r="Q24" s="155">
        <f t="shared" si="3"/>
        <v>-7.7</v>
      </c>
    </row>
    <row r="25" spans="1:17" ht="15">
      <c r="A25" s="181"/>
      <c r="B25" s="156" t="s">
        <v>185</v>
      </c>
      <c r="C25" s="166">
        <v>108</v>
      </c>
      <c r="D25" s="159">
        <f t="shared" si="0"/>
        <v>1080</v>
      </c>
      <c r="E25" s="160">
        <v>96</v>
      </c>
      <c r="F25" s="160">
        <v>120</v>
      </c>
      <c r="G25" s="160">
        <v>75</v>
      </c>
      <c r="H25" s="160">
        <v>118</v>
      </c>
      <c r="I25" s="160">
        <v>54</v>
      </c>
      <c r="J25" s="160">
        <v>100</v>
      </c>
      <c r="K25" s="160">
        <v>167</v>
      </c>
      <c r="L25" s="160">
        <v>18</v>
      </c>
      <c r="M25" s="160">
        <v>141</v>
      </c>
      <c r="N25" s="160">
        <v>114</v>
      </c>
      <c r="O25" s="153">
        <f t="shared" si="1"/>
        <v>1003</v>
      </c>
      <c r="P25" s="161">
        <f t="shared" si="2"/>
        <v>100.3</v>
      </c>
      <c r="Q25" s="162">
        <f t="shared" si="3"/>
        <v>-7.7</v>
      </c>
    </row>
    <row r="26" spans="1:17" ht="30">
      <c r="A26" s="149" t="s">
        <v>186</v>
      </c>
      <c r="B26" s="164" t="s">
        <v>187</v>
      </c>
      <c r="C26" s="165">
        <v>162</v>
      </c>
      <c r="D26" s="151">
        <f t="shared" si="0"/>
        <v>1620</v>
      </c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>
        <f>SUM(O28:O41)</f>
        <v>1341.1000000000001</v>
      </c>
      <c r="P26" s="154">
        <f t="shared" si="2"/>
        <v>134.11</v>
      </c>
      <c r="Q26" s="155">
        <f t="shared" si="3"/>
        <v>-27.889999999999986</v>
      </c>
    </row>
    <row r="27" spans="1:17" ht="15">
      <c r="A27" s="629" t="s">
        <v>188</v>
      </c>
      <c r="B27" s="630"/>
      <c r="C27" s="168">
        <v>153</v>
      </c>
      <c r="D27" s="159">
        <f t="shared" si="0"/>
        <v>1530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53">
        <f>SUM(O29:O42)</f>
        <v>1042</v>
      </c>
      <c r="P27" s="161"/>
      <c r="Q27" s="162"/>
    </row>
    <row r="28" spans="1:17" ht="17.25" customHeight="1">
      <c r="A28" s="181"/>
      <c r="B28" s="346" t="s">
        <v>190</v>
      </c>
      <c r="C28" s="166">
        <v>44</v>
      </c>
      <c r="D28" s="159">
        <f t="shared" si="0"/>
        <v>440</v>
      </c>
      <c r="E28" s="160">
        <v>33.7</v>
      </c>
      <c r="F28" s="160">
        <v>137</v>
      </c>
      <c r="G28" s="160"/>
      <c r="H28" s="160">
        <v>24</v>
      </c>
      <c r="I28" s="160">
        <v>30</v>
      </c>
      <c r="J28" s="160"/>
      <c r="K28" s="160">
        <v>23</v>
      </c>
      <c r="L28" s="160">
        <v>11.1</v>
      </c>
      <c r="M28" s="160">
        <v>51</v>
      </c>
      <c r="N28" s="160">
        <v>44.6</v>
      </c>
      <c r="O28" s="153">
        <f t="shared" si="1"/>
        <v>354.40000000000003</v>
      </c>
      <c r="P28" s="161">
        <f t="shared" si="2"/>
        <v>35.440000000000005</v>
      </c>
      <c r="Q28" s="162">
        <f t="shared" si="3"/>
        <v>-8.559999999999997</v>
      </c>
    </row>
    <row r="29" spans="1:17" ht="15">
      <c r="A29" s="181"/>
      <c r="B29" s="173" t="s">
        <v>191</v>
      </c>
      <c r="C29" s="166">
        <v>21</v>
      </c>
      <c r="D29" s="159">
        <f t="shared" si="0"/>
        <v>210</v>
      </c>
      <c r="E29" s="160">
        <v>24.2</v>
      </c>
      <c r="F29" s="160">
        <v>8.2</v>
      </c>
      <c r="G29" s="160">
        <v>27.5</v>
      </c>
      <c r="H29" s="160">
        <v>31</v>
      </c>
      <c r="I29" s="160">
        <v>24</v>
      </c>
      <c r="J29" s="160">
        <v>1.8</v>
      </c>
      <c r="K29" s="160">
        <v>9.7</v>
      </c>
      <c r="L29" s="160">
        <v>22.4</v>
      </c>
      <c r="M29" s="160">
        <v>31</v>
      </c>
      <c r="N29" s="160">
        <v>28.9</v>
      </c>
      <c r="O29" s="153">
        <f t="shared" si="1"/>
        <v>208.70000000000002</v>
      </c>
      <c r="P29" s="161">
        <f t="shared" si="2"/>
        <v>20.87</v>
      </c>
      <c r="Q29" s="162">
        <f t="shared" si="3"/>
        <v>-0.12999999999999828</v>
      </c>
    </row>
    <row r="30" spans="1:17" ht="15">
      <c r="A30" s="181"/>
      <c r="B30" s="173" t="s">
        <v>192</v>
      </c>
      <c r="C30" s="166">
        <v>14</v>
      </c>
      <c r="D30" s="159">
        <f t="shared" si="0"/>
        <v>140</v>
      </c>
      <c r="E30" s="160"/>
      <c r="F30" s="160">
        <v>33</v>
      </c>
      <c r="G30" s="160"/>
      <c r="H30" s="160">
        <v>24</v>
      </c>
      <c r="I30" s="160">
        <v>18.9</v>
      </c>
      <c r="J30" s="160">
        <v>56</v>
      </c>
      <c r="K30" s="160"/>
      <c r="L30" s="160"/>
      <c r="M30" s="160"/>
      <c r="N30" s="160"/>
      <c r="O30" s="153">
        <f t="shared" si="1"/>
        <v>131.9</v>
      </c>
      <c r="P30" s="161">
        <f t="shared" si="2"/>
        <v>13.190000000000001</v>
      </c>
      <c r="Q30" s="162">
        <f t="shared" si="3"/>
        <v>-0.8099999999999994</v>
      </c>
    </row>
    <row r="31" spans="1:17" ht="15">
      <c r="A31" s="181"/>
      <c r="B31" s="173" t="s">
        <v>193</v>
      </c>
      <c r="C31" s="166">
        <v>24</v>
      </c>
      <c r="D31" s="159">
        <f t="shared" si="0"/>
        <v>240</v>
      </c>
      <c r="E31" s="160">
        <v>20.4</v>
      </c>
      <c r="F31" s="160">
        <v>12.4</v>
      </c>
      <c r="G31" s="160">
        <v>18.2</v>
      </c>
      <c r="H31" s="160">
        <v>4.8</v>
      </c>
      <c r="I31" s="160">
        <v>15</v>
      </c>
      <c r="J31" s="160">
        <v>13</v>
      </c>
      <c r="K31" s="160">
        <v>17.5</v>
      </c>
      <c r="L31" s="160">
        <v>40</v>
      </c>
      <c r="M31" s="160">
        <v>31</v>
      </c>
      <c r="N31" s="160">
        <v>31.1</v>
      </c>
      <c r="O31" s="153">
        <f t="shared" si="1"/>
        <v>203.4</v>
      </c>
      <c r="P31" s="161">
        <f t="shared" si="2"/>
        <v>20.34</v>
      </c>
      <c r="Q31" s="162">
        <f t="shared" si="3"/>
        <v>-3.6599999999999993</v>
      </c>
    </row>
    <row r="32" spans="1:17" ht="15">
      <c r="A32" s="181"/>
      <c r="B32" s="173" t="s">
        <v>194</v>
      </c>
      <c r="C32" s="166">
        <v>22</v>
      </c>
      <c r="D32" s="159">
        <f t="shared" si="0"/>
        <v>220</v>
      </c>
      <c r="E32" s="160">
        <v>38</v>
      </c>
      <c r="F32" s="160">
        <v>29</v>
      </c>
      <c r="G32" s="160">
        <v>7.2</v>
      </c>
      <c r="H32" s="160">
        <v>10</v>
      </c>
      <c r="I32" s="160">
        <v>8.4</v>
      </c>
      <c r="J32" s="160"/>
      <c r="K32" s="160">
        <v>37.5</v>
      </c>
      <c r="L32" s="160">
        <v>9.2</v>
      </c>
      <c r="M32" s="160">
        <v>18.4</v>
      </c>
      <c r="N32" s="160">
        <v>21.6</v>
      </c>
      <c r="O32" s="153">
        <f t="shared" si="1"/>
        <v>179.3</v>
      </c>
      <c r="P32" s="161">
        <f t="shared" si="2"/>
        <v>17.93</v>
      </c>
      <c r="Q32" s="162">
        <f t="shared" si="3"/>
        <v>-4.0699999999999985</v>
      </c>
    </row>
    <row r="33" spans="1:17" ht="15">
      <c r="A33" s="181"/>
      <c r="B33" s="173" t="s">
        <v>195</v>
      </c>
      <c r="C33" s="166">
        <v>22</v>
      </c>
      <c r="D33" s="159">
        <f t="shared" si="0"/>
        <v>220</v>
      </c>
      <c r="E33" s="160"/>
      <c r="F33" s="160"/>
      <c r="G33" s="160">
        <v>27</v>
      </c>
      <c r="H33" s="160">
        <v>23.6</v>
      </c>
      <c r="I33" s="160">
        <v>40</v>
      </c>
      <c r="J33" s="160">
        <v>30</v>
      </c>
      <c r="K33" s="160">
        <v>9</v>
      </c>
      <c r="L33" s="160">
        <v>59.4</v>
      </c>
      <c r="M33" s="160">
        <v>18.4</v>
      </c>
      <c r="N33" s="160"/>
      <c r="O33" s="153">
        <f t="shared" si="1"/>
        <v>207.4</v>
      </c>
      <c r="P33" s="161">
        <f t="shared" si="2"/>
        <v>20.740000000000002</v>
      </c>
      <c r="Q33" s="162">
        <f t="shared" si="3"/>
        <v>-1.2599999999999993</v>
      </c>
    </row>
    <row r="34" spans="1:17" ht="15">
      <c r="A34" s="181"/>
      <c r="B34" s="173" t="s">
        <v>196</v>
      </c>
      <c r="C34" s="166">
        <v>0</v>
      </c>
      <c r="D34" s="159">
        <f t="shared" si="0"/>
        <v>0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53">
        <f t="shared" si="1"/>
        <v>0</v>
      </c>
      <c r="P34" s="161">
        <f t="shared" si="2"/>
        <v>0</v>
      </c>
      <c r="Q34" s="162">
        <f t="shared" si="3"/>
        <v>0</v>
      </c>
    </row>
    <row r="35" spans="1:17" ht="15">
      <c r="A35" s="181"/>
      <c r="B35" s="173" t="s">
        <v>197</v>
      </c>
      <c r="C35" s="166">
        <v>0</v>
      </c>
      <c r="D35" s="159">
        <f t="shared" si="0"/>
        <v>0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53">
        <f t="shared" si="1"/>
        <v>0</v>
      </c>
      <c r="P35" s="161">
        <f t="shared" si="2"/>
        <v>0</v>
      </c>
      <c r="Q35" s="162">
        <f t="shared" si="3"/>
        <v>0</v>
      </c>
    </row>
    <row r="36" spans="1:17" ht="15">
      <c r="A36" s="181"/>
      <c r="B36" s="173" t="s">
        <v>198</v>
      </c>
      <c r="C36" s="166">
        <v>0</v>
      </c>
      <c r="D36" s="159">
        <f t="shared" si="0"/>
        <v>0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53">
        <f t="shared" si="1"/>
        <v>0</v>
      </c>
      <c r="P36" s="161">
        <f t="shared" si="2"/>
        <v>0</v>
      </c>
      <c r="Q36" s="162">
        <f t="shared" si="3"/>
        <v>0</v>
      </c>
    </row>
    <row r="37" spans="1:17" ht="15">
      <c r="A37" s="181"/>
      <c r="B37" s="173" t="s">
        <v>199</v>
      </c>
      <c r="C37" s="166">
        <v>0</v>
      </c>
      <c r="D37" s="159">
        <f t="shared" si="0"/>
        <v>0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53">
        <f t="shared" si="1"/>
        <v>0</v>
      </c>
      <c r="P37" s="161">
        <f t="shared" si="2"/>
        <v>0</v>
      </c>
      <c r="Q37" s="162">
        <f t="shared" si="3"/>
        <v>0</v>
      </c>
    </row>
    <row r="38" spans="1:17" ht="15">
      <c r="A38" s="181"/>
      <c r="B38" s="173" t="s">
        <v>200</v>
      </c>
      <c r="C38" s="166">
        <v>1</v>
      </c>
      <c r="D38" s="159">
        <f t="shared" si="0"/>
        <v>10</v>
      </c>
      <c r="E38" s="160">
        <v>1</v>
      </c>
      <c r="F38" s="160">
        <v>1</v>
      </c>
      <c r="G38" s="160">
        <v>1</v>
      </c>
      <c r="H38" s="160">
        <v>1</v>
      </c>
      <c r="I38" s="160">
        <v>1</v>
      </c>
      <c r="J38" s="160">
        <v>1</v>
      </c>
      <c r="K38" s="160">
        <v>1</v>
      </c>
      <c r="L38" s="160">
        <v>1</v>
      </c>
      <c r="M38" s="160">
        <v>1</v>
      </c>
      <c r="N38" s="160">
        <v>1</v>
      </c>
      <c r="O38" s="153">
        <f aca="true" t="shared" si="4" ref="O38:O47">SUM(E38:N38)</f>
        <v>10</v>
      </c>
      <c r="P38" s="161">
        <f t="shared" si="2"/>
        <v>1</v>
      </c>
      <c r="Q38" s="162">
        <f t="shared" si="3"/>
        <v>0</v>
      </c>
    </row>
    <row r="39" spans="1:17" ht="15">
      <c r="A39" s="181"/>
      <c r="B39" s="173" t="s">
        <v>201</v>
      </c>
      <c r="C39" s="166">
        <v>2</v>
      </c>
      <c r="D39" s="159">
        <f aca="true" t="shared" si="5" ref="D39:D47">C39*10</f>
        <v>20</v>
      </c>
      <c r="E39" s="160"/>
      <c r="F39" s="160"/>
      <c r="G39" s="160"/>
      <c r="H39" s="160">
        <v>8</v>
      </c>
      <c r="I39" s="160"/>
      <c r="J39" s="160"/>
      <c r="K39" s="160">
        <v>3</v>
      </c>
      <c r="L39" s="160"/>
      <c r="M39" s="160"/>
      <c r="N39" s="160">
        <v>5</v>
      </c>
      <c r="O39" s="153">
        <f t="shared" si="4"/>
        <v>16</v>
      </c>
      <c r="P39" s="161">
        <f t="shared" si="2"/>
        <v>1.6</v>
      </c>
      <c r="Q39" s="162">
        <f t="shared" si="3"/>
        <v>-0.4</v>
      </c>
    </row>
    <row r="40" spans="1:17" ht="15">
      <c r="A40" s="181"/>
      <c r="B40" s="346" t="s">
        <v>202</v>
      </c>
      <c r="C40" s="166">
        <v>1.5</v>
      </c>
      <c r="D40" s="159">
        <f t="shared" si="5"/>
        <v>15</v>
      </c>
      <c r="E40" s="160">
        <v>1.5</v>
      </c>
      <c r="F40" s="160">
        <v>1.5</v>
      </c>
      <c r="G40" s="160">
        <v>1.5</v>
      </c>
      <c r="H40" s="160">
        <v>1.5</v>
      </c>
      <c r="I40" s="160">
        <v>1.5</v>
      </c>
      <c r="J40" s="160">
        <v>1.5</v>
      </c>
      <c r="K40" s="160">
        <v>1.5</v>
      </c>
      <c r="L40" s="160">
        <v>1.5</v>
      </c>
      <c r="M40" s="160">
        <v>1.5</v>
      </c>
      <c r="N40" s="160">
        <v>1.5</v>
      </c>
      <c r="O40" s="153">
        <f t="shared" si="4"/>
        <v>15</v>
      </c>
      <c r="P40" s="161">
        <f aca="true" t="shared" si="6" ref="P40:P47">O40/10</f>
        <v>1.5</v>
      </c>
      <c r="Q40" s="162">
        <f aca="true" t="shared" si="7" ref="Q40:Q47">(O40-D40)/10</f>
        <v>0</v>
      </c>
    </row>
    <row r="41" spans="1:17" ht="14.25" customHeight="1">
      <c r="A41" s="181"/>
      <c r="B41" s="173" t="s">
        <v>203</v>
      </c>
      <c r="C41" s="166">
        <v>1.5</v>
      </c>
      <c r="D41" s="159">
        <f t="shared" si="5"/>
        <v>15</v>
      </c>
      <c r="E41" s="160">
        <v>1.5</v>
      </c>
      <c r="F41" s="160">
        <v>1.5</v>
      </c>
      <c r="G41" s="160">
        <v>1.5</v>
      </c>
      <c r="H41" s="160">
        <v>1.5</v>
      </c>
      <c r="I41" s="160">
        <v>1.5</v>
      </c>
      <c r="J41" s="160">
        <v>1.5</v>
      </c>
      <c r="K41" s="160">
        <v>1.5</v>
      </c>
      <c r="L41" s="160">
        <v>1.5</v>
      </c>
      <c r="M41" s="160">
        <v>1.5</v>
      </c>
      <c r="N41" s="160">
        <v>1.5</v>
      </c>
      <c r="O41" s="153">
        <f t="shared" si="4"/>
        <v>15</v>
      </c>
      <c r="P41" s="161">
        <f t="shared" si="6"/>
        <v>1.5</v>
      </c>
      <c r="Q41" s="162">
        <f t="shared" si="7"/>
        <v>0</v>
      </c>
    </row>
    <row r="42" spans="1:17" ht="15">
      <c r="A42" s="629" t="s">
        <v>189</v>
      </c>
      <c r="B42" s="630"/>
      <c r="C42" s="168">
        <v>9</v>
      </c>
      <c r="D42" s="159">
        <f t="shared" si="5"/>
        <v>90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53">
        <f>SUM(O43:O47)</f>
        <v>55.3</v>
      </c>
      <c r="P42" s="161">
        <f t="shared" si="6"/>
        <v>5.529999999999999</v>
      </c>
      <c r="Q42" s="162">
        <f t="shared" si="7"/>
        <v>-3.47</v>
      </c>
    </row>
    <row r="43" spans="1:17" ht="15">
      <c r="A43" s="181"/>
      <c r="B43" s="173" t="s">
        <v>204</v>
      </c>
      <c r="C43" s="166">
        <v>1</v>
      </c>
      <c r="D43" s="159">
        <f t="shared" si="5"/>
        <v>10</v>
      </c>
      <c r="E43" s="160"/>
      <c r="F43" s="160"/>
      <c r="G43" s="160"/>
      <c r="H43" s="160">
        <v>10</v>
      </c>
      <c r="I43" s="160"/>
      <c r="J43" s="160"/>
      <c r="K43" s="160"/>
      <c r="L43" s="160"/>
      <c r="M43" s="160"/>
      <c r="N43" s="160"/>
      <c r="O43" s="153">
        <f t="shared" si="4"/>
        <v>10</v>
      </c>
      <c r="P43" s="161">
        <f t="shared" si="6"/>
        <v>1</v>
      </c>
      <c r="Q43" s="162">
        <f t="shared" si="7"/>
        <v>0</v>
      </c>
    </row>
    <row r="44" spans="1:17" ht="15">
      <c r="A44" s="181"/>
      <c r="B44" s="173" t="s">
        <v>205</v>
      </c>
      <c r="C44" s="166">
        <v>3</v>
      </c>
      <c r="D44" s="159">
        <f t="shared" si="5"/>
        <v>30</v>
      </c>
      <c r="E44" s="160"/>
      <c r="F44" s="160"/>
      <c r="G44" s="160"/>
      <c r="H44" s="160"/>
      <c r="I44" s="160">
        <v>4.5</v>
      </c>
      <c r="J44" s="160"/>
      <c r="K44" s="160"/>
      <c r="L44" s="160">
        <v>12</v>
      </c>
      <c r="M44" s="160"/>
      <c r="N44" s="160">
        <v>6</v>
      </c>
      <c r="O44" s="153">
        <f t="shared" si="4"/>
        <v>22.5</v>
      </c>
      <c r="P44" s="161">
        <f t="shared" si="6"/>
        <v>2.25</v>
      </c>
      <c r="Q44" s="162">
        <f t="shared" si="7"/>
        <v>-0.75</v>
      </c>
    </row>
    <row r="45" spans="1:17" ht="15">
      <c r="A45" s="181"/>
      <c r="B45" s="346" t="s">
        <v>206</v>
      </c>
      <c r="C45" s="166">
        <v>2</v>
      </c>
      <c r="D45" s="159">
        <f t="shared" si="5"/>
        <v>20</v>
      </c>
      <c r="E45" s="160"/>
      <c r="F45" s="160"/>
      <c r="G45" s="160"/>
      <c r="H45" s="160"/>
      <c r="I45" s="160"/>
      <c r="J45" s="160"/>
      <c r="K45" s="160"/>
      <c r="L45" s="160"/>
      <c r="M45" s="160">
        <v>12</v>
      </c>
      <c r="N45" s="160"/>
      <c r="O45" s="153">
        <f t="shared" si="4"/>
        <v>12</v>
      </c>
      <c r="P45" s="161">
        <f t="shared" si="6"/>
        <v>1.2</v>
      </c>
      <c r="Q45" s="162">
        <f t="shared" si="7"/>
        <v>-0.8</v>
      </c>
    </row>
    <row r="46" spans="1:17" ht="15">
      <c r="A46" s="181"/>
      <c r="B46" s="346" t="s">
        <v>207</v>
      </c>
      <c r="C46" s="166">
        <v>1</v>
      </c>
      <c r="D46" s="159">
        <f t="shared" si="5"/>
        <v>10</v>
      </c>
      <c r="E46" s="160">
        <v>10.8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53">
        <f t="shared" si="4"/>
        <v>10.8</v>
      </c>
      <c r="P46" s="161">
        <f t="shared" si="6"/>
        <v>1.08</v>
      </c>
      <c r="Q46" s="162">
        <f t="shared" si="7"/>
        <v>0.08000000000000007</v>
      </c>
    </row>
    <row r="47" spans="1:17" ht="15">
      <c r="A47" s="181"/>
      <c r="B47" s="346" t="s">
        <v>208</v>
      </c>
      <c r="C47" s="166">
        <v>2</v>
      </c>
      <c r="D47" s="159">
        <f t="shared" si="5"/>
        <v>20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53">
        <f t="shared" si="4"/>
        <v>0</v>
      </c>
      <c r="P47" s="161">
        <f t="shared" si="6"/>
        <v>0</v>
      </c>
      <c r="Q47" s="162">
        <f t="shared" si="7"/>
        <v>-2</v>
      </c>
    </row>
    <row r="48" spans="1:17" ht="30">
      <c r="A48" s="149" t="s">
        <v>225</v>
      </c>
      <c r="B48" s="164" t="s">
        <v>226</v>
      </c>
      <c r="C48" s="149">
        <v>86</v>
      </c>
      <c r="D48" s="151">
        <f aca="true" t="shared" si="8" ref="D48:D80">C48*10</f>
        <v>860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3">
        <f>SUM(O49:O55)</f>
        <v>822.9000000000001</v>
      </c>
      <c r="P48" s="154">
        <f aca="true" t="shared" si="9" ref="P48:P81">O48/10</f>
        <v>82.29</v>
      </c>
      <c r="Q48" s="155">
        <f aca="true" t="shared" si="10" ref="Q48:Q81">(O48-D48)/10</f>
        <v>-3.709999999999991</v>
      </c>
    </row>
    <row r="49" spans="1:17" ht="15">
      <c r="A49" s="158"/>
      <c r="B49" s="157" t="s">
        <v>228</v>
      </c>
      <c r="C49" s="166">
        <v>31</v>
      </c>
      <c r="D49" s="159">
        <f t="shared" si="8"/>
        <v>310</v>
      </c>
      <c r="E49" s="160"/>
      <c r="F49" s="160">
        <v>50</v>
      </c>
      <c r="G49" s="160">
        <v>35</v>
      </c>
      <c r="H49" s="160">
        <v>80</v>
      </c>
      <c r="I49" s="160">
        <v>42.6</v>
      </c>
      <c r="J49" s="160">
        <v>70</v>
      </c>
      <c r="K49" s="160">
        <v>24</v>
      </c>
      <c r="L49" s="160"/>
      <c r="M49" s="160"/>
      <c r="N49" s="160"/>
      <c r="O49" s="153">
        <f aca="true" t="shared" si="11" ref="O49:O78">SUM(E49:N49)</f>
        <v>301.6</v>
      </c>
      <c r="P49" s="161">
        <f t="shared" si="9"/>
        <v>30.160000000000004</v>
      </c>
      <c r="Q49" s="162">
        <f t="shared" si="10"/>
        <v>-0.8399999999999977</v>
      </c>
    </row>
    <row r="50" spans="1:17" ht="15">
      <c r="A50" s="158"/>
      <c r="B50" s="157" t="s">
        <v>229</v>
      </c>
      <c r="C50" s="166">
        <v>28</v>
      </c>
      <c r="D50" s="159">
        <f t="shared" si="8"/>
        <v>280</v>
      </c>
      <c r="E50" s="160">
        <v>30</v>
      </c>
      <c r="F50" s="160"/>
      <c r="G50" s="160"/>
      <c r="H50" s="160">
        <v>80</v>
      </c>
      <c r="I50" s="160">
        <v>9</v>
      </c>
      <c r="J50" s="190">
        <v>8</v>
      </c>
      <c r="K50" s="190">
        <v>24.8</v>
      </c>
      <c r="L50" s="190"/>
      <c r="M50" s="190">
        <v>18</v>
      </c>
      <c r="N50" s="190">
        <v>99</v>
      </c>
      <c r="O50" s="153">
        <f t="shared" si="11"/>
        <v>268.8</v>
      </c>
      <c r="P50" s="161">
        <f t="shared" si="9"/>
        <v>26.880000000000003</v>
      </c>
      <c r="Q50" s="162">
        <f t="shared" si="10"/>
        <v>-1.1199999999999988</v>
      </c>
    </row>
    <row r="51" spans="1:17" ht="15">
      <c r="A51" s="156"/>
      <c r="B51" s="157" t="s">
        <v>230</v>
      </c>
      <c r="C51" s="166">
        <v>18</v>
      </c>
      <c r="D51" s="159">
        <f t="shared" si="8"/>
        <v>180</v>
      </c>
      <c r="E51" s="160"/>
      <c r="F51" s="160">
        <v>50</v>
      </c>
      <c r="G51" s="160">
        <v>23</v>
      </c>
      <c r="H51" s="160"/>
      <c r="I51" s="160"/>
      <c r="J51" s="160"/>
      <c r="K51" s="160">
        <v>16.2</v>
      </c>
      <c r="L51" s="160"/>
      <c r="M51" s="160">
        <v>22</v>
      </c>
      <c r="N51" s="160">
        <v>50</v>
      </c>
      <c r="O51" s="153">
        <f t="shared" si="11"/>
        <v>161.2</v>
      </c>
      <c r="P51" s="161">
        <f t="shared" si="9"/>
        <v>16.119999999999997</v>
      </c>
      <c r="Q51" s="162">
        <f t="shared" si="10"/>
        <v>-1.8800000000000012</v>
      </c>
    </row>
    <row r="52" spans="1:17" ht="15">
      <c r="A52" s="158"/>
      <c r="B52" s="157" t="s">
        <v>231</v>
      </c>
      <c r="C52" s="166">
        <v>6</v>
      </c>
      <c r="D52" s="159">
        <f t="shared" si="8"/>
        <v>60</v>
      </c>
      <c r="E52" s="160"/>
      <c r="F52" s="160"/>
      <c r="G52" s="160">
        <v>19.3</v>
      </c>
      <c r="H52" s="160"/>
      <c r="I52" s="160">
        <v>9</v>
      </c>
      <c r="J52" s="160"/>
      <c r="K52" s="160">
        <v>13.5</v>
      </c>
      <c r="L52" s="160"/>
      <c r="M52" s="160">
        <v>18</v>
      </c>
      <c r="N52" s="160">
        <v>9</v>
      </c>
      <c r="O52" s="153">
        <f t="shared" si="11"/>
        <v>68.8</v>
      </c>
      <c r="P52" s="161">
        <f t="shared" si="9"/>
        <v>6.88</v>
      </c>
      <c r="Q52" s="162">
        <f t="shared" si="10"/>
        <v>0.8799999999999997</v>
      </c>
    </row>
    <row r="53" spans="1:17" ht="15">
      <c r="A53" s="158"/>
      <c r="B53" s="157" t="s">
        <v>232</v>
      </c>
      <c r="C53" s="166">
        <v>0</v>
      </c>
      <c r="D53" s="159">
        <f t="shared" si="8"/>
        <v>0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53">
        <f t="shared" si="11"/>
        <v>0</v>
      </c>
      <c r="P53" s="161">
        <f t="shared" si="9"/>
        <v>0</v>
      </c>
      <c r="Q53" s="162">
        <f t="shared" si="10"/>
        <v>0</v>
      </c>
    </row>
    <row r="54" spans="1:17" ht="15">
      <c r="A54" s="158"/>
      <c r="B54" s="157" t="s">
        <v>233</v>
      </c>
      <c r="C54" s="166">
        <v>3</v>
      </c>
      <c r="D54" s="159">
        <f t="shared" si="8"/>
        <v>30</v>
      </c>
      <c r="E54" s="160"/>
      <c r="F54" s="160"/>
      <c r="G54" s="160">
        <v>15.5</v>
      </c>
      <c r="H54" s="160"/>
      <c r="I54" s="160"/>
      <c r="J54" s="160"/>
      <c r="K54" s="160">
        <v>7</v>
      </c>
      <c r="L54" s="160"/>
      <c r="M54" s="160"/>
      <c r="N54" s="160"/>
      <c r="O54" s="153">
        <f t="shared" si="11"/>
        <v>22.5</v>
      </c>
      <c r="P54" s="161">
        <f t="shared" si="9"/>
        <v>2.25</v>
      </c>
      <c r="Q54" s="162">
        <f t="shared" si="10"/>
        <v>-0.75</v>
      </c>
    </row>
    <row r="55" spans="1:17" ht="30">
      <c r="A55" s="158"/>
      <c r="B55" s="157" t="s">
        <v>234</v>
      </c>
      <c r="C55" s="166">
        <v>0</v>
      </c>
      <c r="D55" s="159">
        <f t="shared" si="8"/>
        <v>0</v>
      </c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53">
        <f t="shared" si="11"/>
        <v>0</v>
      </c>
      <c r="P55" s="161">
        <f t="shared" si="9"/>
        <v>0</v>
      </c>
      <c r="Q55" s="162">
        <f t="shared" si="10"/>
        <v>0</v>
      </c>
    </row>
    <row r="56" spans="1:17" ht="15">
      <c r="A56" s="149" t="s">
        <v>235</v>
      </c>
      <c r="B56" s="164" t="s">
        <v>236</v>
      </c>
      <c r="C56" s="165">
        <v>8</v>
      </c>
      <c r="D56" s="151">
        <f t="shared" si="8"/>
        <v>80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3">
        <f>SUM(O57:O61)</f>
        <v>73.6</v>
      </c>
      <c r="P56" s="154">
        <f t="shared" si="9"/>
        <v>7.359999999999999</v>
      </c>
      <c r="Q56" s="155">
        <f t="shared" si="10"/>
        <v>-0.6400000000000006</v>
      </c>
    </row>
    <row r="57" spans="1:17" ht="15">
      <c r="A57" s="163"/>
      <c r="B57" s="157" t="s">
        <v>237</v>
      </c>
      <c r="C57" s="166">
        <v>2.6</v>
      </c>
      <c r="D57" s="159">
        <f t="shared" si="8"/>
        <v>26</v>
      </c>
      <c r="E57" s="160"/>
      <c r="F57" s="160">
        <v>18</v>
      </c>
      <c r="G57" s="160"/>
      <c r="H57" s="160"/>
      <c r="I57" s="160"/>
      <c r="J57" s="160"/>
      <c r="K57" s="160"/>
      <c r="L57" s="160"/>
      <c r="M57" s="160">
        <v>18</v>
      </c>
      <c r="N57" s="160"/>
      <c r="O57" s="153">
        <f t="shared" si="11"/>
        <v>36</v>
      </c>
      <c r="P57" s="161">
        <f t="shared" si="9"/>
        <v>3.6</v>
      </c>
      <c r="Q57" s="162">
        <f>(O57-D57)/10</f>
        <v>1</v>
      </c>
    </row>
    <row r="58" spans="1:17" ht="30">
      <c r="A58" s="163"/>
      <c r="B58" s="157" t="s">
        <v>238</v>
      </c>
      <c r="C58" s="166">
        <v>2</v>
      </c>
      <c r="D58" s="159">
        <f t="shared" si="8"/>
        <v>20</v>
      </c>
      <c r="E58" s="160"/>
      <c r="F58" s="160"/>
      <c r="G58" s="160"/>
      <c r="H58" s="160"/>
      <c r="I58" s="160"/>
      <c r="J58" s="160">
        <v>15</v>
      </c>
      <c r="K58" s="160"/>
      <c r="L58" s="160">
        <v>7.5</v>
      </c>
      <c r="M58" s="160"/>
      <c r="N58" s="160"/>
      <c r="O58" s="153">
        <f t="shared" si="11"/>
        <v>22.5</v>
      </c>
      <c r="P58" s="161">
        <f t="shared" si="9"/>
        <v>2.25</v>
      </c>
      <c r="Q58" s="162">
        <f t="shared" si="10"/>
        <v>0.25</v>
      </c>
    </row>
    <row r="59" spans="1:17" ht="15">
      <c r="A59" s="163"/>
      <c r="B59" s="157" t="s">
        <v>239</v>
      </c>
      <c r="C59" s="166">
        <v>1</v>
      </c>
      <c r="D59" s="159">
        <f t="shared" si="8"/>
        <v>10</v>
      </c>
      <c r="E59" s="160"/>
      <c r="F59" s="160"/>
      <c r="G59" s="160"/>
      <c r="H59" s="160"/>
      <c r="I59" s="160"/>
      <c r="J59" s="160"/>
      <c r="K59" s="160"/>
      <c r="L59" s="160">
        <v>3</v>
      </c>
      <c r="M59" s="160"/>
      <c r="N59" s="160"/>
      <c r="O59" s="153">
        <f t="shared" si="11"/>
        <v>3</v>
      </c>
      <c r="P59" s="161">
        <f t="shared" si="9"/>
        <v>0.3</v>
      </c>
      <c r="Q59" s="162">
        <f t="shared" si="10"/>
        <v>-0.7</v>
      </c>
    </row>
    <row r="60" spans="1:17" ht="15">
      <c r="A60" s="163"/>
      <c r="B60" s="157" t="s">
        <v>240</v>
      </c>
      <c r="C60" s="166">
        <v>2.1</v>
      </c>
      <c r="D60" s="159">
        <f t="shared" si="8"/>
        <v>21</v>
      </c>
      <c r="E60" s="160">
        <v>3.8</v>
      </c>
      <c r="F60" s="160"/>
      <c r="G60" s="160"/>
      <c r="H60" s="160"/>
      <c r="I60" s="160">
        <v>4.5</v>
      </c>
      <c r="J60" s="160"/>
      <c r="K60" s="160"/>
      <c r="L60" s="160"/>
      <c r="M60" s="160"/>
      <c r="N60" s="160"/>
      <c r="O60" s="153">
        <f t="shared" si="11"/>
        <v>8.3</v>
      </c>
      <c r="P60" s="161">
        <f t="shared" si="9"/>
        <v>0.8300000000000001</v>
      </c>
      <c r="Q60" s="162">
        <f t="shared" si="10"/>
        <v>-1.27</v>
      </c>
    </row>
    <row r="61" spans="1:17" ht="15">
      <c r="A61" s="163"/>
      <c r="B61" s="157" t="s">
        <v>241</v>
      </c>
      <c r="C61" s="166">
        <v>0.3</v>
      </c>
      <c r="D61" s="159">
        <f t="shared" si="8"/>
        <v>3</v>
      </c>
      <c r="E61" s="160"/>
      <c r="F61" s="160">
        <v>3.8</v>
      </c>
      <c r="G61" s="160"/>
      <c r="H61" s="160"/>
      <c r="I61" s="160"/>
      <c r="J61" s="160"/>
      <c r="K61" s="160"/>
      <c r="L61" s="160"/>
      <c r="M61" s="160"/>
      <c r="N61" s="160"/>
      <c r="O61" s="153">
        <f t="shared" si="11"/>
        <v>3.8</v>
      </c>
      <c r="P61" s="161">
        <f t="shared" si="9"/>
        <v>0.38</v>
      </c>
      <c r="Q61" s="162">
        <f t="shared" si="10"/>
        <v>0.07999999999999999</v>
      </c>
    </row>
    <row r="62" spans="1:17" ht="30">
      <c r="A62" s="149" t="s">
        <v>242</v>
      </c>
      <c r="B62" s="164" t="s">
        <v>243</v>
      </c>
      <c r="C62" s="149">
        <v>90</v>
      </c>
      <c r="D62" s="151">
        <f t="shared" si="8"/>
        <v>900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3">
        <f>SUM(O63:O64)</f>
        <v>794</v>
      </c>
      <c r="P62" s="154">
        <f t="shared" si="9"/>
        <v>79.4</v>
      </c>
      <c r="Q62" s="155">
        <f t="shared" si="10"/>
        <v>-10.6</v>
      </c>
    </row>
    <row r="63" spans="1:17" ht="30">
      <c r="A63" s="163"/>
      <c r="B63" s="157" t="s">
        <v>244</v>
      </c>
      <c r="C63" s="158">
        <v>90</v>
      </c>
      <c r="D63" s="159">
        <f t="shared" si="8"/>
        <v>900</v>
      </c>
      <c r="E63" s="160">
        <v>150</v>
      </c>
      <c r="F63" s="160">
        <v>21.2</v>
      </c>
      <c r="G63" s="160">
        <v>5.3</v>
      </c>
      <c r="H63" s="160">
        <v>60</v>
      </c>
      <c r="I63" s="160">
        <v>160</v>
      </c>
      <c r="J63" s="190">
        <v>12</v>
      </c>
      <c r="K63" s="190">
        <v>31.4</v>
      </c>
      <c r="L63" s="190">
        <v>162</v>
      </c>
      <c r="M63" s="190">
        <v>192.1</v>
      </c>
      <c r="N63" s="190"/>
      <c r="O63" s="153">
        <f t="shared" si="11"/>
        <v>794</v>
      </c>
      <c r="P63" s="161">
        <f t="shared" si="9"/>
        <v>79.4</v>
      </c>
      <c r="Q63" s="162">
        <f t="shared" si="10"/>
        <v>-10.6</v>
      </c>
    </row>
    <row r="64" spans="1:17" ht="15">
      <c r="A64" s="163"/>
      <c r="B64" s="157" t="s">
        <v>245</v>
      </c>
      <c r="C64" s="158">
        <v>0</v>
      </c>
      <c r="D64" s="159">
        <f t="shared" si="8"/>
        <v>0</v>
      </c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53">
        <f t="shared" si="11"/>
        <v>0</v>
      </c>
      <c r="P64" s="161">
        <f t="shared" si="9"/>
        <v>0</v>
      </c>
      <c r="Q64" s="162">
        <f t="shared" si="10"/>
        <v>0</v>
      </c>
    </row>
    <row r="65" spans="1:17" ht="15">
      <c r="A65" s="149" t="s">
        <v>246</v>
      </c>
      <c r="B65" s="175" t="s">
        <v>247</v>
      </c>
      <c r="C65" s="165">
        <v>36</v>
      </c>
      <c r="D65" s="151">
        <f t="shared" si="8"/>
        <v>360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3">
        <f>SUM(O66:O67)</f>
        <v>351.6</v>
      </c>
      <c r="P65" s="154">
        <f t="shared" si="9"/>
        <v>35.160000000000004</v>
      </c>
      <c r="Q65" s="155">
        <f t="shared" si="10"/>
        <v>-0.8399999999999977</v>
      </c>
    </row>
    <row r="66" spans="1:17" ht="30">
      <c r="A66" s="163"/>
      <c r="B66" s="157" t="s">
        <v>248</v>
      </c>
      <c r="C66" s="166">
        <v>34</v>
      </c>
      <c r="D66" s="159">
        <f t="shared" si="8"/>
        <v>340</v>
      </c>
      <c r="E66" s="160">
        <f>13+17</f>
        <v>30</v>
      </c>
      <c r="F66" s="160">
        <f>22+14</f>
        <v>36</v>
      </c>
      <c r="G66" s="160">
        <f>30</f>
        <v>30</v>
      </c>
      <c r="H66" s="160">
        <f>15+22</f>
        <v>37</v>
      </c>
      <c r="I66" s="160">
        <f>30</f>
        <v>30</v>
      </c>
      <c r="J66" s="160">
        <f>14+14</f>
        <v>28</v>
      </c>
      <c r="K66" s="160">
        <f>22+14</f>
        <v>36</v>
      </c>
      <c r="L66" s="160">
        <f>34</f>
        <v>34</v>
      </c>
      <c r="M66" s="160">
        <f>15+15</f>
        <v>30</v>
      </c>
      <c r="N66" s="160">
        <v>36</v>
      </c>
      <c r="O66" s="153">
        <f t="shared" si="11"/>
        <v>327</v>
      </c>
      <c r="P66" s="161">
        <f t="shared" si="9"/>
        <v>32.7</v>
      </c>
      <c r="Q66" s="162">
        <f t="shared" si="10"/>
        <v>-1.3</v>
      </c>
    </row>
    <row r="67" spans="1:17" ht="15">
      <c r="A67" s="163"/>
      <c r="B67" s="157" t="s">
        <v>249</v>
      </c>
      <c r="C67" s="166">
        <v>2</v>
      </c>
      <c r="D67" s="159">
        <f t="shared" si="8"/>
        <v>20</v>
      </c>
      <c r="E67" s="160">
        <v>6</v>
      </c>
      <c r="F67" s="160"/>
      <c r="G67" s="160">
        <v>3.6</v>
      </c>
      <c r="H67" s="160"/>
      <c r="I67" s="160"/>
      <c r="J67" s="160">
        <v>5</v>
      </c>
      <c r="K67" s="160">
        <v>4</v>
      </c>
      <c r="L67" s="160"/>
      <c r="M67" s="160"/>
      <c r="N67" s="160">
        <v>6</v>
      </c>
      <c r="O67" s="153">
        <f t="shared" si="11"/>
        <v>24.6</v>
      </c>
      <c r="P67" s="161">
        <f t="shared" si="9"/>
        <v>2.46</v>
      </c>
      <c r="Q67" s="162">
        <f t="shared" si="10"/>
        <v>0.46000000000000013</v>
      </c>
    </row>
    <row r="68" spans="1:17" ht="30">
      <c r="A68" s="149" t="s">
        <v>250</v>
      </c>
      <c r="B68" s="164" t="s">
        <v>251</v>
      </c>
      <c r="C68" s="165">
        <v>54</v>
      </c>
      <c r="D68" s="151">
        <f t="shared" si="8"/>
        <v>540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3">
        <f>SUM(O69:O70)</f>
        <v>540</v>
      </c>
      <c r="P68" s="154">
        <f t="shared" si="9"/>
        <v>54</v>
      </c>
      <c r="Q68" s="155">
        <f t="shared" si="10"/>
        <v>0</v>
      </c>
    </row>
    <row r="69" spans="1:17" ht="30">
      <c r="A69" s="163"/>
      <c r="B69" s="157" t="s">
        <v>252</v>
      </c>
      <c r="C69" s="166">
        <v>29</v>
      </c>
      <c r="D69" s="159">
        <f t="shared" si="8"/>
        <v>290</v>
      </c>
      <c r="E69" s="160">
        <v>29</v>
      </c>
      <c r="F69" s="160">
        <v>29</v>
      </c>
      <c r="G69" s="160">
        <v>29</v>
      </c>
      <c r="H69" s="160">
        <v>29</v>
      </c>
      <c r="I69" s="160">
        <v>29</v>
      </c>
      <c r="J69" s="160">
        <v>29</v>
      </c>
      <c r="K69" s="160">
        <v>29</v>
      </c>
      <c r="L69" s="160">
        <v>29</v>
      </c>
      <c r="M69" s="160">
        <v>29</v>
      </c>
      <c r="N69" s="160">
        <v>29</v>
      </c>
      <c r="O69" s="153">
        <f t="shared" si="11"/>
        <v>290</v>
      </c>
      <c r="P69" s="161">
        <f t="shared" si="9"/>
        <v>29</v>
      </c>
      <c r="Q69" s="162">
        <f t="shared" si="10"/>
        <v>0</v>
      </c>
    </row>
    <row r="70" spans="1:17" ht="30">
      <c r="A70" s="163"/>
      <c r="B70" s="157" t="s">
        <v>253</v>
      </c>
      <c r="C70" s="166">
        <v>25</v>
      </c>
      <c r="D70" s="159">
        <f t="shared" si="8"/>
        <v>250</v>
      </c>
      <c r="E70" s="160">
        <v>25</v>
      </c>
      <c r="F70" s="160">
        <v>25</v>
      </c>
      <c r="G70" s="160">
        <v>25</v>
      </c>
      <c r="H70" s="160">
        <v>25</v>
      </c>
      <c r="I70" s="160">
        <v>25</v>
      </c>
      <c r="J70" s="160">
        <v>25</v>
      </c>
      <c r="K70" s="160">
        <v>25</v>
      </c>
      <c r="L70" s="160">
        <v>25</v>
      </c>
      <c r="M70" s="160">
        <v>25</v>
      </c>
      <c r="N70" s="160">
        <v>25</v>
      </c>
      <c r="O70" s="153">
        <f t="shared" si="11"/>
        <v>250</v>
      </c>
      <c r="P70" s="161">
        <f t="shared" si="9"/>
        <v>25</v>
      </c>
      <c r="Q70" s="162">
        <f t="shared" si="10"/>
        <v>0</v>
      </c>
    </row>
    <row r="71" spans="1:17" ht="30">
      <c r="A71" s="149" t="s">
        <v>254</v>
      </c>
      <c r="B71" s="164" t="s">
        <v>255</v>
      </c>
      <c r="C71" s="165">
        <v>27</v>
      </c>
      <c r="D71" s="151">
        <f t="shared" si="8"/>
        <v>270</v>
      </c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3">
        <f>SUM(O72:O81)</f>
        <v>270.5</v>
      </c>
      <c r="P71" s="154">
        <f t="shared" si="9"/>
        <v>27.05</v>
      </c>
      <c r="Q71" s="155">
        <f t="shared" si="10"/>
        <v>0.05</v>
      </c>
    </row>
    <row r="72" spans="1:17" ht="15">
      <c r="A72" s="181"/>
      <c r="B72" s="157" t="s">
        <v>256</v>
      </c>
      <c r="C72" s="166">
        <v>4.6</v>
      </c>
      <c r="D72" s="159">
        <f t="shared" si="8"/>
        <v>46</v>
      </c>
      <c r="E72" s="160"/>
      <c r="F72" s="160">
        <v>9</v>
      </c>
      <c r="G72" s="160"/>
      <c r="H72" s="160"/>
      <c r="I72" s="160">
        <v>20</v>
      </c>
      <c r="J72" s="160">
        <v>9</v>
      </c>
      <c r="K72" s="160"/>
      <c r="L72" s="160"/>
      <c r="M72" s="160"/>
      <c r="N72" s="160"/>
      <c r="O72" s="153">
        <f t="shared" si="11"/>
        <v>38</v>
      </c>
      <c r="P72" s="161">
        <f t="shared" si="9"/>
        <v>3.8</v>
      </c>
      <c r="Q72" s="162">
        <f t="shared" si="10"/>
        <v>-0.8</v>
      </c>
    </row>
    <row r="73" spans="1:17" ht="30">
      <c r="A73" s="181"/>
      <c r="B73" s="157" t="s">
        <v>257</v>
      </c>
      <c r="C73" s="166">
        <v>2</v>
      </c>
      <c r="D73" s="159">
        <f t="shared" si="8"/>
        <v>20</v>
      </c>
      <c r="E73" s="160">
        <v>9</v>
      </c>
      <c r="F73" s="160"/>
      <c r="G73" s="160"/>
      <c r="H73" s="160"/>
      <c r="I73" s="160"/>
      <c r="J73" s="160"/>
      <c r="K73" s="160"/>
      <c r="L73" s="160"/>
      <c r="M73" s="160"/>
      <c r="N73" s="160">
        <v>14.4</v>
      </c>
      <c r="O73" s="153">
        <f t="shared" si="11"/>
        <v>23.4</v>
      </c>
      <c r="P73" s="161">
        <f t="shared" si="9"/>
        <v>2.34</v>
      </c>
      <c r="Q73" s="162">
        <f t="shared" si="10"/>
        <v>0.33999999999999986</v>
      </c>
    </row>
    <row r="74" spans="1:17" ht="15">
      <c r="A74" s="181"/>
      <c r="B74" s="157" t="s">
        <v>258</v>
      </c>
      <c r="C74" s="166">
        <v>1.6</v>
      </c>
      <c r="D74" s="159">
        <f t="shared" si="8"/>
        <v>16</v>
      </c>
      <c r="E74" s="160"/>
      <c r="F74" s="160"/>
      <c r="G74" s="160">
        <v>12</v>
      </c>
      <c r="H74" s="160"/>
      <c r="I74" s="160"/>
      <c r="J74" s="160"/>
      <c r="K74" s="160"/>
      <c r="L74" s="160"/>
      <c r="M74" s="160"/>
      <c r="N74" s="160"/>
      <c r="O74" s="153">
        <f t="shared" si="11"/>
        <v>12</v>
      </c>
      <c r="P74" s="161">
        <f t="shared" si="9"/>
        <v>1.2</v>
      </c>
      <c r="Q74" s="162">
        <f t="shared" si="10"/>
        <v>-0.4</v>
      </c>
    </row>
    <row r="75" spans="1:17" ht="15">
      <c r="A75" s="181"/>
      <c r="B75" s="157" t="s">
        <v>259</v>
      </c>
      <c r="C75" s="166">
        <v>2.7</v>
      </c>
      <c r="D75" s="159">
        <f t="shared" si="8"/>
        <v>27</v>
      </c>
      <c r="E75" s="160"/>
      <c r="F75" s="160"/>
      <c r="G75" s="160"/>
      <c r="H75" s="160">
        <v>12</v>
      </c>
      <c r="I75" s="160">
        <v>3</v>
      </c>
      <c r="J75" s="160"/>
      <c r="K75" s="160"/>
      <c r="L75" s="160"/>
      <c r="M75" s="160"/>
      <c r="N75" s="160"/>
      <c r="O75" s="153">
        <f t="shared" si="11"/>
        <v>15</v>
      </c>
      <c r="P75" s="161">
        <f t="shared" si="9"/>
        <v>1.5</v>
      </c>
      <c r="Q75" s="162">
        <f t="shared" si="10"/>
        <v>-1.2</v>
      </c>
    </row>
    <row r="76" spans="1:17" ht="30">
      <c r="A76" s="181"/>
      <c r="B76" s="157" t="s">
        <v>260</v>
      </c>
      <c r="C76" s="166">
        <v>4.5</v>
      </c>
      <c r="D76" s="159">
        <f t="shared" si="8"/>
        <v>45</v>
      </c>
      <c r="E76" s="160"/>
      <c r="F76" s="160"/>
      <c r="G76" s="160"/>
      <c r="H76" s="160">
        <v>29</v>
      </c>
      <c r="I76" s="160"/>
      <c r="J76" s="160"/>
      <c r="K76" s="160">
        <v>12</v>
      </c>
      <c r="L76" s="160"/>
      <c r="M76" s="160"/>
      <c r="N76" s="160">
        <v>26</v>
      </c>
      <c r="O76" s="153">
        <f t="shared" si="11"/>
        <v>67</v>
      </c>
      <c r="P76" s="161">
        <f t="shared" si="9"/>
        <v>6.7</v>
      </c>
      <c r="Q76" s="162">
        <f t="shared" si="10"/>
        <v>2.2</v>
      </c>
    </row>
    <row r="77" spans="1:17" ht="15">
      <c r="A77" s="181"/>
      <c r="B77" s="157" t="s">
        <v>261</v>
      </c>
      <c r="C77" s="166">
        <v>2.7</v>
      </c>
      <c r="D77" s="159">
        <f t="shared" si="8"/>
        <v>27</v>
      </c>
      <c r="E77" s="160"/>
      <c r="F77" s="160"/>
      <c r="G77" s="160"/>
      <c r="H77" s="160"/>
      <c r="I77" s="160"/>
      <c r="J77" s="160"/>
      <c r="K77" s="160">
        <v>26.7</v>
      </c>
      <c r="L77" s="160"/>
      <c r="M77" s="160"/>
      <c r="N77" s="160"/>
      <c r="O77" s="153">
        <f t="shared" si="11"/>
        <v>26.7</v>
      </c>
      <c r="P77" s="161">
        <f t="shared" si="9"/>
        <v>2.67</v>
      </c>
      <c r="Q77" s="162">
        <f t="shared" si="10"/>
        <v>-0.030000000000000072</v>
      </c>
    </row>
    <row r="78" spans="1:17" ht="15">
      <c r="A78" s="181"/>
      <c r="B78" s="157" t="s">
        <v>262</v>
      </c>
      <c r="C78" s="166">
        <v>1.8</v>
      </c>
      <c r="D78" s="159">
        <f t="shared" si="8"/>
        <v>18</v>
      </c>
      <c r="E78" s="160"/>
      <c r="F78" s="160"/>
      <c r="G78" s="160"/>
      <c r="H78" s="160"/>
      <c r="I78" s="160"/>
      <c r="J78" s="160"/>
      <c r="K78" s="160"/>
      <c r="L78" s="160"/>
      <c r="M78" s="160">
        <v>12</v>
      </c>
      <c r="N78" s="160"/>
      <c r="O78" s="153">
        <f t="shared" si="11"/>
        <v>12</v>
      </c>
      <c r="P78" s="161">
        <f t="shared" si="9"/>
        <v>1.2</v>
      </c>
      <c r="Q78" s="162">
        <f t="shared" si="10"/>
        <v>-0.6</v>
      </c>
    </row>
    <row r="79" spans="1:17" ht="15">
      <c r="A79" s="181"/>
      <c r="B79" s="157" t="s">
        <v>263</v>
      </c>
      <c r="C79" s="166">
        <v>0.3</v>
      </c>
      <c r="D79" s="159">
        <f t="shared" si="8"/>
        <v>3</v>
      </c>
      <c r="E79" s="160">
        <v>3.6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53">
        <f aca="true" t="shared" si="12" ref="O79:O102">SUM(E79:N79)</f>
        <v>3.6</v>
      </c>
      <c r="P79" s="161">
        <f t="shared" si="9"/>
        <v>0.36</v>
      </c>
      <c r="Q79" s="162">
        <f t="shared" si="10"/>
        <v>0.06000000000000001</v>
      </c>
    </row>
    <row r="80" spans="1:17" ht="15">
      <c r="A80" s="181"/>
      <c r="B80" s="157" t="s">
        <v>264</v>
      </c>
      <c r="C80" s="166">
        <v>6.3</v>
      </c>
      <c r="D80" s="159">
        <f t="shared" si="8"/>
        <v>63</v>
      </c>
      <c r="E80" s="160"/>
      <c r="F80" s="160"/>
      <c r="G80" s="160">
        <v>23.8</v>
      </c>
      <c r="H80" s="160"/>
      <c r="I80" s="160">
        <v>25</v>
      </c>
      <c r="J80" s="160">
        <v>6</v>
      </c>
      <c r="K80" s="160"/>
      <c r="L80" s="160">
        <v>12</v>
      </c>
      <c r="M80" s="160"/>
      <c r="N80" s="160"/>
      <c r="O80" s="153">
        <f t="shared" si="12"/>
        <v>66.8</v>
      </c>
      <c r="P80" s="161">
        <f t="shared" si="9"/>
        <v>6.68</v>
      </c>
      <c r="Q80" s="162">
        <f t="shared" si="10"/>
        <v>0.3799999999999997</v>
      </c>
    </row>
    <row r="81" spans="1:17" ht="15">
      <c r="A81" s="181"/>
      <c r="B81" s="157" t="s">
        <v>265</v>
      </c>
      <c r="C81" s="166">
        <v>0.5</v>
      </c>
      <c r="D81" s="159">
        <f aca="true" t="shared" si="13" ref="D81:D102">C81*10</f>
        <v>5</v>
      </c>
      <c r="E81" s="160"/>
      <c r="F81" s="160"/>
      <c r="G81" s="160"/>
      <c r="H81" s="160"/>
      <c r="I81" s="160"/>
      <c r="J81" s="160"/>
      <c r="K81" s="160">
        <v>6</v>
      </c>
      <c r="L81" s="160"/>
      <c r="M81" s="160"/>
      <c r="N81" s="160"/>
      <c r="O81" s="153">
        <f t="shared" si="12"/>
        <v>6</v>
      </c>
      <c r="P81" s="161">
        <f t="shared" si="9"/>
        <v>0.6</v>
      </c>
      <c r="Q81" s="162">
        <f t="shared" si="10"/>
        <v>0.1</v>
      </c>
    </row>
    <row r="82" spans="1:17" ht="15">
      <c r="A82" s="181" t="s">
        <v>266</v>
      </c>
      <c r="B82" s="156" t="s">
        <v>267</v>
      </c>
      <c r="C82" s="166">
        <v>7</v>
      </c>
      <c r="D82" s="159">
        <f t="shared" si="13"/>
        <v>70</v>
      </c>
      <c r="E82" s="160">
        <v>37.5</v>
      </c>
      <c r="F82" s="160"/>
      <c r="G82" s="160"/>
      <c r="H82" s="160"/>
      <c r="I82" s="160"/>
      <c r="J82" s="160">
        <v>37.5</v>
      </c>
      <c r="K82" s="160"/>
      <c r="L82" s="160"/>
      <c r="M82" s="160"/>
      <c r="N82" s="160">
        <v>6</v>
      </c>
      <c r="O82" s="153">
        <f t="shared" si="12"/>
        <v>81</v>
      </c>
      <c r="P82" s="161">
        <f aca="true" t="shared" si="14" ref="P82:P100">O82/10</f>
        <v>8.1</v>
      </c>
      <c r="Q82" s="162">
        <f aca="true" t="shared" si="15" ref="Q82:Q102">(O82-D82)/10</f>
        <v>1.1</v>
      </c>
    </row>
    <row r="83" spans="1:17" ht="15">
      <c r="A83" s="181" t="s">
        <v>268</v>
      </c>
      <c r="B83" s="156" t="s">
        <v>269</v>
      </c>
      <c r="C83" s="166">
        <v>23</v>
      </c>
      <c r="D83" s="159">
        <f t="shared" si="13"/>
        <v>230</v>
      </c>
      <c r="E83" s="160">
        <v>3.7</v>
      </c>
      <c r="F83" s="160">
        <v>34.2</v>
      </c>
      <c r="G83" s="160">
        <v>7.2</v>
      </c>
      <c r="H83" s="160">
        <v>3.5</v>
      </c>
      <c r="I83" s="160">
        <v>42.5</v>
      </c>
      <c r="J83" s="160">
        <v>1.4</v>
      </c>
      <c r="K83" s="160">
        <v>38.7</v>
      </c>
      <c r="L83" s="160">
        <v>25.4</v>
      </c>
      <c r="M83" s="160">
        <v>27.3</v>
      </c>
      <c r="N83" s="160">
        <v>35.2</v>
      </c>
      <c r="O83" s="153">
        <f t="shared" si="12"/>
        <v>219.10000000000002</v>
      </c>
      <c r="P83" s="161">
        <f t="shared" si="14"/>
        <v>21.910000000000004</v>
      </c>
      <c r="Q83" s="162">
        <f t="shared" si="15"/>
        <v>-1.0899999999999976</v>
      </c>
    </row>
    <row r="84" spans="1:17" ht="15">
      <c r="A84" s="181" t="s">
        <v>270</v>
      </c>
      <c r="B84" s="156" t="s">
        <v>271</v>
      </c>
      <c r="C84" s="158">
        <v>16</v>
      </c>
      <c r="D84" s="159">
        <f t="shared" si="13"/>
        <v>160</v>
      </c>
      <c r="E84" s="160">
        <v>15.3</v>
      </c>
      <c r="F84" s="160">
        <v>16.8</v>
      </c>
      <c r="G84" s="160">
        <v>11.7</v>
      </c>
      <c r="H84" s="160">
        <v>16.1</v>
      </c>
      <c r="I84" s="160">
        <v>18.5</v>
      </c>
      <c r="J84" s="160">
        <v>18.9</v>
      </c>
      <c r="K84" s="160">
        <v>18.4</v>
      </c>
      <c r="L84" s="160">
        <v>14.6</v>
      </c>
      <c r="M84" s="160">
        <v>14.6</v>
      </c>
      <c r="N84" s="160">
        <v>13.9</v>
      </c>
      <c r="O84" s="153">
        <f t="shared" si="12"/>
        <v>158.8</v>
      </c>
      <c r="P84" s="161">
        <f t="shared" si="14"/>
        <v>15.88</v>
      </c>
      <c r="Q84" s="162">
        <f t="shared" si="15"/>
        <v>-0.11999999999999886</v>
      </c>
    </row>
    <row r="85" spans="1:17" ht="15">
      <c r="A85" s="181" t="s">
        <v>272</v>
      </c>
      <c r="B85" s="156" t="s">
        <v>273</v>
      </c>
      <c r="C85" s="158">
        <v>8</v>
      </c>
      <c r="D85" s="159">
        <f t="shared" si="13"/>
        <v>80</v>
      </c>
      <c r="E85" s="160">
        <v>11.4</v>
      </c>
      <c r="F85" s="160">
        <v>11.6</v>
      </c>
      <c r="G85" s="160">
        <v>7.1</v>
      </c>
      <c r="H85" s="160">
        <v>2</v>
      </c>
      <c r="I85" s="160">
        <v>5.3</v>
      </c>
      <c r="J85" s="160">
        <v>7</v>
      </c>
      <c r="K85" s="160">
        <v>6.3</v>
      </c>
      <c r="L85" s="160">
        <v>4.5</v>
      </c>
      <c r="M85" s="160">
        <v>13</v>
      </c>
      <c r="N85" s="160">
        <v>11.9</v>
      </c>
      <c r="O85" s="153">
        <f t="shared" si="12"/>
        <v>80.1</v>
      </c>
      <c r="P85" s="161">
        <f t="shared" si="14"/>
        <v>8.01</v>
      </c>
      <c r="Q85" s="162">
        <f t="shared" si="15"/>
        <v>0.009999999999999431</v>
      </c>
    </row>
    <row r="86" spans="1:17" ht="30">
      <c r="A86" s="149" t="s">
        <v>274</v>
      </c>
      <c r="B86" s="164" t="s">
        <v>275</v>
      </c>
      <c r="C86" s="149">
        <v>11</v>
      </c>
      <c r="D86" s="151">
        <f t="shared" si="13"/>
        <v>110</v>
      </c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3">
        <f>SUM(O87:O93)</f>
        <v>93</v>
      </c>
      <c r="P86" s="154">
        <f t="shared" si="14"/>
        <v>9.3</v>
      </c>
      <c r="Q86" s="155">
        <f t="shared" si="15"/>
        <v>-1.7</v>
      </c>
    </row>
    <row r="87" spans="1:17" ht="15">
      <c r="A87" s="163"/>
      <c r="B87" s="157" t="s">
        <v>276</v>
      </c>
      <c r="C87" s="158">
        <v>2.8</v>
      </c>
      <c r="D87" s="159">
        <f t="shared" si="13"/>
        <v>28</v>
      </c>
      <c r="E87" s="160"/>
      <c r="F87" s="160"/>
      <c r="G87" s="160"/>
      <c r="H87" s="160">
        <v>22</v>
      </c>
      <c r="I87" s="160"/>
      <c r="J87" s="160"/>
      <c r="K87" s="160"/>
      <c r="L87" s="160"/>
      <c r="M87" s="160"/>
      <c r="N87" s="160"/>
      <c r="O87" s="153">
        <f t="shared" si="12"/>
        <v>22</v>
      </c>
      <c r="P87" s="161">
        <f t="shared" si="14"/>
        <v>2.2</v>
      </c>
      <c r="Q87" s="162">
        <f t="shared" si="15"/>
        <v>-0.6</v>
      </c>
    </row>
    <row r="88" spans="1:17" ht="15">
      <c r="A88" s="163"/>
      <c r="B88" s="157" t="s">
        <v>277</v>
      </c>
      <c r="C88" s="166">
        <v>1.8</v>
      </c>
      <c r="D88" s="159">
        <f t="shared" si="13"/>
        <v>18</v>
      </c>
      <c r="E88" s="160"/>
      <c r="F88" s="160"/>
      <c r="G88" s="160"/>
      <c r="H88" s="160"/>
      <c r="I88" s="160"/>
      <c r="J88" s="160">
        <v>18</v>
      </c>
      <c r="K88" s="160"/>
      <c r="L88" s="160"/>
      <c r="M88" s="160"/>
      <c r="N88" s="160"/>
      <c r="O88" s="153">
        <f t="shared" si="12"/>
        <v>18</v>
      </c>
      <c r="P88" s="161">
        <f t="shared" si="14"/>
        <v>1.8</v>
      </c>
      <c r="Q88" s="162">
        <f t="shared" si="15"/>
        <v>0</v>
      </c>
    </row>
    <row r="89" spans="1:17" ht="30">
      <c r="A89" s="163"/>
      <c r="B89" s="157" t="s">
        <v>278</v>
      </c>
      <c r="C89" s="166">
        <v>1.8</v>
      </c>
      <c r="D89" s="159">
        <f t="shared" si="13"/>
        <v>18</v>
      </c>
      <c r="E89" s="160"/>
      <c r="F89" s="160"/>
      <c r="G89" s="160"/>
      <c r="H89" s="160"/>
      <c r="I89" s="160"/>
      <c r="J89" s="160"/>
      <c r="K89" s="160"/>
      <c r="L89" s="160"/>
      <c r="M89" s="160"/>
      <c r="N89" s="160">
        <v>8</v>
      </c>
      <c r="O89" s="153">
        <f t="shared" si="12"/>
        <v>8</v>
      </c>
      <c r="P89" s="161">
        <f t="shared" si="14"/>
        <v>0.8</v>
      </c>
      <c r="Q89" s="162">
        <f t="shared" si="15"/>
        <v>-1</v>
      </c>
    </row>
    <row r="90" spans="1:17" ht="15">
      <c r="A90" s="163"/>
      <c r="B90" s="157" t="s">
        <v>279</v>
      </c>
      <c r="C90" s="166">
        <v>2.5</v>
      </c>
      <c r="D90" s="159">
        <f t="shared" si="13"/>
        <v>25</v>
      </c>
      <c r="E90" s="160"/>
      <c r="F90" s="160">
        <v>10</v>
      </c>
      <c r="G90" s="160"/>
      <c r="H90" s="160"/>
      <c r="I90" s="160">
        <v>10</v>
      </c>
      <c r="J90" s="160"/>
      <c r="K90" s="160"/>
      <c r="L90" s="160"/>
      <c r="M90" s="160"/>
      <c r="N90" s="160"/>
      <c r="O90" s="153">
        <f t="shared" si="12"/>
        <v>20</v>
      </c>
      <c r="P90" s="161">
        <f t="shared" si="14"/>
        <v>2</v>
      </c>
      <c r="Q90" s="162">
        <f t="shared" si="15"/>
        <v>-0.5</v>
      </c>
    </row>
    <row r="91" spans="1:17" ht="15">
      <c r="A91" s="163"/>
      <c r="B91" s="157" t="s">
        <v>280</v>
      </c>
      <c r="C91" s="166">
        <v>1</v>
      </c>
      <c r="D91" s="159">
        <f t="shared" si="13"/>
        <v>10</v>
      </c>
      <c r="E91" s="160"/>
      <c r="F91" s="160">
        <v>10</v>
      </c>
      <c r="G91" s="160"/>
      <c r="H91" s="160"/>
      <c r="I91" s="160"/>
      <c r="J91" s="160"/>
      <c r="K91" s="160"/>
      <c r="L91" s="160"/>
      <c r="M91" s="160"/>
      <c r="N91" s="160"/>
      <c r="O91" s="153">
        <f t="shared" si="12"/>
        <v>10</v>
      </c>
      <c r="P91" s="161">
        <f t="shared" si="14"/>
        <v>1</v>
      </c>
      <c r="Q91" s="162">
        <f t="shared" si="15"/>
        <v>0</v>
      </c>
    </row>
    <row r="92" spans="1:17" ht="15">
      <c r="A92" s="163"/>
      <c r="B92" s="157" t="s">
        <v>281</v>
      </c>
      <c r="C92" s="166">
        <v>1</v>
      </c>
      <c r="D92" s="159">
        <f t="shared" si="13"/>
        <v>10</v>
      </c>
      <c r="E92" s="160"/>
      <c r="F92" s="160"/>
      <c r="G92" s="160"/>
      <c r="H92" s="160"/>
      <c r="I92" s="160"/>
      <c r="J92" s="160">
        <v>15</v>
      </c>
      <c r="K92" s="160"/>
      <c r="L92" s="160"/>
      <c r="M92" s="160"/>
      <c r="N92" s="160"/>
      <c r="O92" s="153">
        <f t="shared" si="12"/>
        <v>15</v>
      </c>
      <c r="P92" s="161">
        <f t="shared" si="14"/>
        <v>1.5</v>
      </c>
      <c r="Q92" s="162">
        <f t="shared" si="15"/>
        <v>0.5</v>
      </c>
    </row>
    <row r="93" spans="1:17" ht="15">
      <c r="A93" s="163"/>
      <c r="B93" s="170" t="s">
        <v>282</v>
      </c>
      <c r="C93" s="166">
        <v>0.035</v>
      </c>
      <c r="D93" s="159">
        <f t="shared" si="13"/>
        <v>0.35000000000000003</v>
      </c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53">
        <f t="shared" si="12"/>
        <v>0</v>
      </c>
      <c r="P93" s="161">
        <f t="shared" si="14"/>
        <v>0</v>
      </c>
      <c r="Q93" s="162">
        <f t="shared" si="15"/>
        <v>-0.035</v>
      </c>
    </row>
    <row r="94" spans="1:17" ht="15">
      <c r="A94" s="163"/>
      <c r="B94" s="170" t="s">
        <v>283</v>
      </c>
      <c r="C94" s="158">
        <v>0.041</v>
      </c>
      <c r="D94" s="159">
        <f t="shared" si="13"/>
        <v>0.41000000000000003</v>
      </c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53">
        <f t="shared" si="12"/>
        <v>0</v>
      </c>
      <c r="P94" s="161">
        <f t="shared" si="14"/>
        <v>0</v>
      </c>
      <c r="Q94" s="162">
        <f t="shared" si="15"/>
        <v>-0.041</v>
      </c>
    </row>
    <row r="95" spans="1:17" ht="15">
      <c r="A95" s="163" t="s">
        <v>284</v>
      </c>
      <c r="B95" s="156" t="s">
        <v>285</v>
      </c>
      <c r="C95" s="158">
        <v>0.45</v>
      </c>
      <c r="D95" s="159">
        <f t="shared" si="13"/>
        <v>4.5</v>
      </c>
      <c r="E95" s="160">
        <v>0.27</v>
      </c>
      <c r="F95" s="160">
        <v>0.2</v>
      </c>
      <c r="G95" s="160">
        <v>0.2</v>
      </c>
      <c r="H95" s="160">
        <v>0.3</v>
      </c>
      <c r="I95" s="160">
        <v>0.57</v>
      </c>
      <c r="J95" s="160">
        <v>0.3</v>
      </c>
      <c r="K95" s="160">
        <v>0.3</v>
      </c>
      <c r="L95" s="160">
        <v>0.3</v>
      </c>
      <c r="M95" s="160"/>
      <c r="N95" s="160">
        <v>0.9</v>
      </c>
      <c r="O95" s="153">
        <f t="shared" si="12"/>
        <v>3.34</v>
      </c>
      <c r="P95" s="161">
        <f t="shared" si="14"/>
        <v>0.33399999999999996</v>
      </c>
      <c r="Q95" s="162">
        <f t="shared" si="15"/>
        <v>-0.11600000000000002</v>
      </c>
    </row>
    <row r="96" spans="1:17" ht="15">
      <c r="A96" s="163" t="s">
        <v>286</v>
      </c>
      <c r="B96" s="156" t="s">
        <v>287</v>
      </c>
      <c r="C96" s="158">
        <v>0.45</v>
      </c>
      <c r="D96" s="159">
        <f t="shared" si="13"/>
        <v>4.5</v>
      </c>
      <c r="E96" s="160"/>
      <c r="F96" s="160">
        <v>2</v>
      </c>
      <c r="G96" s="160"/>
      <c r="H96" s="160"/>
      <c r="I96" s="160"/>
      <c r="J96" s="160"/>
      <c r="K96" s="160">
        <v>2</v>
      </c>
      <c r="L96" s="160"/>
      <c r="M96" s="160"/>
      <c r="N96" s="160"/>
      <c r="O96" s="153">
        <f t="shared" si="12"/>
        <v>4</v>
      </c>
      <c r="P96" s="161">
        <f t="shared" si="14"/>
        <v>0.4</v>
      </c>
      <c r="Q96" s="162">
        <f t="shared" si="15"/>
        <v>-0.05</v>
      </c>
    </row>
    <row r="97" spans="1:17" ht="15">
      <c r="A97" s="163" t="s">
        <v>288</v>
      </c>
      <c r="B97" s="156" t="s">
        <v>289</v>
      </c>
      <c r="C97" s="158">
        <v>0.9</v>
      </c>
      <c r="D97" s="159">
        <f t="shared" si="13"/>
        <v>9</v>
      </c>
      <c r="E97" s="160">
        <v>2</v>
      </c>
      <c r="F97" s="160"/>
      <c r="G97" s="160"/>
      <c r="H97" s="160">
        <v>3</v>
      </c>
      <c r="I97" s="160"/>
      <c r="J97" s="160"/>
      <c r="K97" s="160"/>
      <c r="L97" s="160"/>
      <c r="M97" s="160">
        <v>3</v>
      </c>
      <c r="N97" s="160"/>
      <c r="O97" s="153">
        <f t="shared" si="12"/>
        <v>8</v>
      </c>
      <c r="P97" s="161">
        <f t="shared" si="14"/>
        <v>0.8</v>
      </c>
      <c r="Q97" s="162">
        <f t="shared" si="15"/>
        <v>-0.1</v>
      </c>
    </row>
    <row r="98" spans="1:17" ht="15">
      <c r="A98" s="163" t="s">
        <v>290</v>
      </c>
      <c r="B98" s="156" t="s">
        <v>291</v>
      </c>
      <c r="C98" s="158">
        <v>23</v>
      </c>
      <c r="D98" s="159">
        <f t="shared" si="13"/>
        <v>230</v>
      </c>
      <c r="E98" s="160">
        <v>21.6</v>
      </c>
      <c r="F98" s="160">
        <v>16.8</v>
      </c>
      <c r="G98" s="160">
        <v>34.9</v>
      </c>
      <c r="H98" s="160">
        <v>20.2</v>
      </c>
      <c r="I98" s="160">
        <v>11.2</v>
      </c>
      <c r="J98" s="160">
        <v>14.6</v>
      </c>
      <c r="K98" s="160">
        <v>21.9</v>
      </c>
      <c r="L98" s="160">
        <v>22.5</v>
      </c>
      <c r="M98" s="160">
        <v>13.3</v>
      </c>
      <c r="N98" s="160">
        <v>25.4</v>
      </c>
      <c r="O98" s="153">
        <f t="shared" si="12"/>
        <v>202.40000000000003</v>
      </c>
      <c r="P98" s="161">
        <f t="shared" si="14"/>
        <v>20.240000000000002</v>
      </c>
      <c r="Q98" s="162">
        <f t="shared" si="15"/>
        <v>-2.7599999999999967</v>
      </c>
    </row>
    <row r="99" spans="1:17" ht="30">
      <c r="A99" s="163" t="s">
        <v>292</v>
      </c>
      <c r="B99" s="156" t="s">
        <v>293</v>
      </c>
      <c r="C99" s="158">
        <v>0.09</v>
      </c>
      <c r="D99" s="159">
        <f t="shared" si="13"/>
        <v>0.8999999999999999</v>
      </c>
      <c r="E99" s="160">
        <v>0.1</v>
      </c>
      <c r="F99" s="160">
        <v>0.1</v>
      </c>
      <c r="G99" s="160"/>
      <c r="H99" s="160"/>
      <c r="I99" s="160">
        <v>0.2</v>
      </c>
      <c r="J99" s="160"/>
      <c r="K99" s="160">
        <v>0.1</v>
      </c>
      <c r="L99" s="160"/>
      <c r="M99" s="160">
        <v>0.1</v>
      </c>
      <c r="N99" s="160">
        <v>0.1</v>
      </c>
      <c r="O99" s="153">
        <f t="shared" si="12"/>
        <v>0.7</v>
      </c>
      <c r="P99" s="161">
        <f t="shared" si="14"/>
        <v>0.06999999999999999</v>
      </c>
      <c r="Q99" s="162">
        <f>C99-P99</f>
        <v>0.020000000000000004</v>
      </c>
    </row>
    <row r="100" spans="1:17" ht="15">
      <c r="A100" s="163" t="s">
        <v>294</v>
      </c>
      <c r="B100" s="156" t="s">
        <v>295</v>
      </c>
      <c r="C100" s="158">
        <v>1.8</v>
      </c>
      <c r="D100" s="159">
        <f t="shared" si="13"/>
        <v>18</v>
      </c>
      <c r="E100" s="160"/>
      <c r="F100" s="160"/>
      <c r="G100" s="160"/>
      <c r="H100" s="160">
        <v>7.5</v>
      </c>
      <c r="I100" s="160"/>
      <c r="J100" s="160"/>
      <c r="K100" s="160">
        <v>6.4</v>
      </c>
      <c r="L100" s="160"/>
      <c r="M100" s="160"/>
      <c r="N100" s="160"/>
      <c r="O100" s="153">
        <f t="shared" si="12"/>
        <v>13.9</v>
      </c>
      <c r="P100" s="161">
        <f t="shared" si="14"/>
        <v>1.3900000000000001</v>
      </c>
      <c r="Q100" s="162">
        <f>C100-P100</f>
        <v>0.4099999999999999</v>
      </c>
    </row>
    <row r="101" spans="1:17" ht="30">
      <c r="A101" s="176" t="s">
        <v>296</v>
      </c>
      <c r="B101" s="177" t="s">
        <v>297</v>
      </c>
      <c r="C101" s="178">
        <v>3</v>
      </c>
      <c r="D101" s="179">
        <f t="shared" si="13"/>
        <v>30</v>
      </c>
      <c r="E101" s="180">
        <v>3</v>
      </c>
      <c r="F101" s="180">
        <v>3</v>
      </c>
      <c r="G101" s="180">
        <v>3</v>
      </c>
      <c r="H101" s="180">
        <v>3</v>
      </c>
      <c r="I101" s="180">
        <v>3</v>
      </c>
      <c r="J101" s="180">
        <v>3</v>
      </c>
      <c r="K101" s="180">
        <v>3</v>
      </c>
      <c r="L101" s="180">
        <v>3</v>
      </c>
      <c r="M101" s="180">
        <v>3</v>
      </c>
      <c r="N101" s="180">
        <v>3</v>
      </c>
      <c r="O101" s="179">
        <f t="shared" si="12"/>
        <v>30</v>
      </c>
      <c r="P101" s="179"/>
      <c r="Q101" s="191">
        <f t="shared" si="15"/>
        <v>0</v>
      </c>
    </row>
    <row r="102" spans="1:17" ht="30">
      <c r="A102" s="181" t="s">
        <v>298</v>
      </c>
      <c r="B102" s="182" t="s">
        <v>299</v>
      </c>
      <c r="C102" s="183">
        <v>3</v>
      </c>
      <c r="D102" s="184">
        <f t="shared" si="13"/>
        <v>30</v>
      </c>
      <c r="E102" s="185">
        <v>3</v>
      </c>
      <c r="F102" s="185">
        <v>3</v>
      </c>
      <c r="G102" s="185">
        <v>3</v>
      </c>
      <c r="H102" s="185">
        <v>3</v>
      </c>
      <c r="I102" s="185">
        <v>3</v>
      </c>
      <c r="J102" s="185">
        <v>3</v>
      </c>
      <c r="K102" s="185">
        <v>3</v>
      </c>
      <c r="L102" s="185">
        <v>3</v>
      </c>
      <c r="M102" s="185">
        <v>3</v>
      </c>
      <c r="N102" s="185">
        <v>3</v>
      </c>
      <c r="O102" s="184">
        <f t="shared" si="12"/>
        <v>30</v>
      </c>
      <c r="P102" s="184"/>
      <c r="Q102" s="191">
        <f t="shared" si="15"/>
        <v>0</v>
      </c>
    </row>
    <row r="103" spans="5:14" ht="12.75">
      <c r="E103" s="186">
        <v>1</v>
      </c>
      <c r="F103" s="186">
        <v>2</v>
      </c>
      <c r="G103" s="186">
        <v>3</v>
      </c>
      <c r="H103" s="186">
        <v>4</v>
      </c>
      <c r="I103" s="186">
        <v>5</v>
      </c>
      <c r="J103" s="186">
        <v>6</v>
      </c>
      <c r="K103" s="186">
        <v>7</v>
      </c>
      <c r="L103" s="186">
        <v>8</v>
      </c>
      <c r="M103" s="186">
        <v>9</v>
      </c>
      <c r="N103" s="186">
        <v>10</v>
      </c>
    </row>
  </sheetData>
  <sheetProtection/>
  <mergeCells count="9">
    <mergeCell ref="A27:B27"/>
    <mergeCell ref="A42:B42"/>
    <mergeCell ref="Q2:Q3"/>
    <mergeCell ref="A2:A3"/>
    <mergeCell ref="B2:B3"/>
    <mergeCell ref="C2:D2"/>
    <mergeCell ref="E2:N2"/>
    <mergeCell ref="O2:O3"/>
    <mergeCell ref="P2:P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2023-05-26T05:34:30Z</cp:lastPrinted>
  <dcterms:created xsi:type="dcterms:W3CDTF">2008-04-09T08:03:58Z</dcterms:created>
  <dcterms:modified xsi:type="dcterms:W3CDTF">2023-05-26T05:34:48Z</dcterms:modified>
  <cp:category/>
  <cp:version/>
  <cp:contentType/>
  <cp:contentStatus/>
</cp:coreProperties>
</file>